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chartsheets/sheet1.xml" ContentType="application/vnd.openxmlformats-officedocument.spreadsheetml.chart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S:\Economic Analysis\ea_common\Pubs\WebUpdates\UI\UI_Weekly\"/>
    </mc:Choice>
  </mc:AlternateContent>
  <bookViews>
    <workbookView xWindow="0" yWindow="0" windowWidth="20730" windowHeight="11760"/>
  </bookViews>
  <sheets>
    <sheet name="Report" sheetId="7" r:id="rId1"/>
    <sheet name="Chart" sheetId="12" r:id="rId2"/>
    <sheet name="Glossary" sheetId="8" r:id="rId3"/>
  </sheets>
  <definedNames>
    <definedName name="Date">OFFSET(Report!$A$2,COUNTA(Report!$A:$A)-261,0,261)</definedName>
    <definedName name="_xlnm.Print_Titles" localSheetId="0">Report!$1:$3</definedName>
    <definedName name="UI">OFFSET(Report!$C$3,COUNTA(Report!$C:$C)-261,0,261)</definedName>
  </definedNames>
  <calcPr calcId="162913"/>
</workbook>
</file>

<file path=xl/calcChain.xml><?xml version="1.0" encoding="utf-8"?>
<calcChain xmlns="http://schemas.openxmlformats.org/spreadsheetml/2006/main">
  <c r="O611" i="7" l="1"/>
  <c r="C611" i="7"/>
  <c r="B611" i="7" s="1"/>
  <c r="K611" i="7" s="1"/>
  <c r="M611" i="7" s="1"/>
  <c r="L611" i="7" l="1"/>
  <c r="N611" i="7" s="1"/>
  <c r="O610" i="7"/>
  <c r="C610" i="7"/>
  <c r="B610" i="7"/>
  <c r="K610" i="7" s="1"/>
  <c r="M610" i="7" s="1"/>
  <c r="L610" i="7"/>
  <c r="N610" i="7"/>
  <c r="O609" i="7" l="1"/>
  <c r="C609" i="7"/>
  <c r="L609" i="7" s="1"/>
  <c r="N609" i="7" s="1"/>
  <c r="B609" i="7"/>
  <c r="K609" i="7" s="1"/>
  <c r="M609" i="7" s="1"/>
  <c r="O608" i="7" l="1"/>
  <c r="C608" i="7"/>
  <c r="B608" i="7" s="1"/>
  <c r="K608" i="7" s="1"/>
  <c r="M608" i="7" s="1"/>
  <c r="L608" i="7" l="1"/>
  <c r="N608" i="7" s="1"/>
  <c r="O607" i="7"/>
  <c r="C607" i="7"/>
  <c r="B607" i="7" s="1"/>
  <c r="K607" i="7" s="1"/>
  <c r="M607" i="7" s="1"/>
  <c r="L607" i="7" l="1"/>
  <c r="N607" i="7" s="1"/>
  <c r="O606" i="7"/>
  <c r="C606" i="7"/>
  <c r="B606" i="7"/>
  <c r="K606" i="7" s="1"/>
  <c r="M606" i="7" s="1"/>
  <c r="L606" i="7"/>
  <c r="N606" i="7" s="1"/>
  <c r="O605" i="7" l="1"/>
  <c r="C605" i="7"/>
  <c r="B605" i="7" s="1"/>
  <c r="K605" i="7" s="1"/>
  <c r="M605" i="7" s="1"/>
  <c r="L605" i="7" l="1"/>
  <c r="N605" i="7" s="1"/>
  <c r="O604" i="7"/>
  <c r="C604" i="7"/>
  <c r="B604" i="7"/>
  <c r="K604" i="7" s="1"/>
  <c r="M604" i="7" s="1"/>
  <c r="L604" i="7"/>
  <c r="N604" i="7" s="1"/>
  <c r="O603" i="7" l="1"/>
  <c r="C603" i="7"/>
  <c r="B603" i="7"/>
  <c r="K603" i="7" s="1"/>
  <c r="M603" i="7" s="1"/>
  <c r="L603" i="7" l="1"/>
  <c r="N603" i="7" s="1"/>
  <c r="O602" i="7"/>
  <c r="C602" i="7"/>
  <c r="L602" i="7" s="1"/>
  <c r="N602" i="7" s="1"/>
  <c r="B602" i="7" l="1"/>
  <c r="K602" i="7" s="1"/>
  <c r="M602" i="7" s="1"/>
  <c r="O601" i="7"/>
  <c r="C601" i="7"/>
  <c r="B601" i="7"/>
  <c r="K601" i="7" s="1"/>
  <c r="M601" i="7" s="1"/>
  <c r="L601" i="7"/>
  <c r="N601" i="7" s="1"/>
  <c r="O600" i="7" l="1"/>
  <c r="C600" i="7"/>
  <c r="B600" i="7"/>
  <c r="L600" i="7"/>
  <c r="N600" i="7"/>
  <c r="K600" i="7" l="1"/>
  <c r="M600" i="7" s="1"/>
  <c r="O599" i="7"/>
  <c r="C599" i="7"/>
  <c r="L599" i="7" s="1"/>
  <c r="N599" i="7" s="1"/>
  <c r="B599" i="7"/>
  <c r="K599" i="7" s="1"/>
  <c r="M599" i="7" s="1"/>
  <c r="O598" i="7" l="1"/>
  <c r="C598" i="7"/>
  <c r="B598" i="7"/>
  <c r="K598" i="7" s="1"/>
  <c r="M598" i="7" s="1"/>
  <c r="L598" i="7"/>
  <c r="N598" i="7" s="1"/>
  <c r="O597" i="7" l="1"/>
  <c r="C597" i="7"/>
  <c r="B597" i="7" s="1"/>
  <c r="K597" i="7" s="1"/>
  <c r="M597" i="7" s="1"/>
  <c r="L597" i="7" l="1"/>
  <c r="N597" i="7" s="1"/>
  <c r="O596" i="7"/>
  <c r="C596" i="7"/>
  <c r="L596" i="7" s="1"/>
  <c r="N596" i="7" s="1"/>
  <c r="B596" i="7"/>
  <c r="K596" i="7" s="1"/>
  <c r="M596" i="7" s="1"/>
  <c r="O595" i="7" l="1"/>
  <c r="C595" i="7"/>
  <c r="B595" i="7" s="1"/>
  <c r="K595" i="7" s="1"/>
  <c r="M595" i="7" s="1"/>
  <c r="L595" i="7" l="1"/>
  <c r="N595" i="7" s="1"/>
  <c r="O594" i="7"/>
  <c r="C594" i="7"/>
  <c r="B594" i="7"/>
  <c r="K594" i="7" s="1"/>
  <c r="M594" i="7" s="1"/>
  <c r="L594" i="7"/>
  <c r="N594" i="7" s="1"/>
  <c r="O593" i="7" l="1"/>
  <c r="C593" i="7"/>
  <c r="B593" i="7" s="1"/>
  <c r="K593" i="7" s="1"/>
  <c r="M593" i="7" s="1"/>
  <c r="L593" i="7" l="1"/>
  <c r="N593" i="7" s="1"/>
  <c r="O592" i="7"/>
  <c r="C592" i="7"/>
  <c r="B592" i="7"/>
  <c r="K592" i="7" s="1"/>
  <c r="M592" i="7" s="1"/>
  <c r="L592" i="7"/>
  <c r="N592" i="7"/>
  <c r="O591" i="7" l="1"/>
  <c r="C591" i="7"/>
  <c r="L591" i="7" s="1"/>
  <c r="N591" i="7" s="1"/>
  <c r="B591" i="7"/>
  <c r="K591" i="7" s="1"/>
  <c r="M591" i="7" s="1"/>
  <c r="O590" i="7" l="1"/>
  <c r="C590" i="7"/>
  <c r="B590" i="7" s="1"/>
  <c r="K590" i="7" s="1"/>
  <c r="M590" i="7" s="1"/>
  <c r="L590" i="7" l="1"/>
  <c r="N590" i="7" s="1"/>
  <c r="O589" i="7"/>
  <c r="C589" i="7"/>
  <c r="B589" i="7" s="1"/>
  <c r="K589" i="7" s="1"/>
  <c r="M589" i="7" s="1"/>
  <c r="L589" i="7" l="1"/>
  <c r="N589" i="7" s="1"/>
  <c r="O588" i="7"/>
  <c r="N588" i="7"/>
  <c r="C588" i="7"/>
  <c r="B588" i="7"/>
  <c r="K588" i="7" s="1"/>
  <c r="M588" i="7" s="1"/>
  <c r="L588" i="7"/>
  <c r="O587" i="7" l="1"/>
  <c r="C587" i="7"/>
  <c r="B587" i="7"/>
  <c r="K587" i="7" s="1"/>
  <c r="M587" i="7" s="1"/>
  <c r="L587" i="7" l="1"/>
  <c r="N587" i="7" s="1"/>
  <c r="O586" i="7"/>
  <c r="C586" i="7"/>
  <c r="L586" i="7" s="1"/>
  <c r="N586" i="7" s="1"/>
  <c r="B586" i="7"/>
  <c r="K586" i="7" s="1"/>
  <c r="M586" i="7" s="1"/>
  <c r="O585" i="7" l="1"/>
  <c r="C585" i="7"/>
  <c r="B585" i="7"/>
  <c r="K585" i="7" s="1"/>
  <c r="M585" i="7" s="1"/>
  <c r="L585" i="7"/>
  <c r="N585" i="7" s="1"/>
  <c r="O584" i="7" l="1"/>
  <c r="C584" i="7"/>
  <c r="B584" i="7" s="1"/>
  <c r="K584" i="7" s="1"/>
  <c r="M584" i="7" s="1"/>
  <c r="L584" i="7" l="1"/>
  <c r="N584" i="7" s="1"/>
  <c r="C581" i="7"/>
  <c r="O583" i="7" l="1"/>
  <c r="C583" i="7"/>
  <c r="B583" i="7"/>
  <c r="K583" i="7" s="1"/>
  <c r="M583" i="7" s="1"/>
  <c r="L583" i="7"/>
  <c r="N583" i="7" s="1"/>
  <c r="O582" i="7" l="1"/>
  <c r="C582" i="7"/>
  <c r="B582" i="7" s="1"/>
  <c r="O581" i="7" l="1"/>
  <c r="B581" i="7"/>
  <c r="O580" i="7" l="1"/>
  <c r="C580" i="7"/>
  <c r="B580" i="7"/>
  <c r="O579" i="7" l="1"/>
  <c r="C579" i="7"/>
  <c r="B579" i="7"/>
  <c r="O578" i="7" l="1"/>
  <c r="C578" i="7"/>
  <c r="B578" i="7" s="1"/>
  <c r="O577" i="7" l="1"/>
  <c r="C577" i="7"/>
  <c r="B577" i="7" s="1"/>
  <c r="C576" i="7" l="1"/>
  <c r="O576" i="7"/>
  <c r="B576" i="7"/>
  <c r="O575" i="7" l="1"/>
  <c r="C575" i="7"/>
  <c r="B575" i="7" s="1"/>
  <c r="O574" i="7" l="1"/>
  <c r="C574" i="7"/>
  <c r="B574" i="7" s="1"/>
  <c r="O573" i="7"/>
  <c r="C573" i="7"/>
  <c r="B573" i="7"/>
  <c r="O572" i="7" l="1"/>
  <c r="C572" i="7"/>
  <c r="C570" i="7"/>
  <c r="B572" i="7" l="1"/>
  <c r="O571" i="7"/>
  <c r="C571" i="7"/>
  <c r="B571" i="7"/>
  <c r="O570" i="7" l="1"/>
  <c r="B570" i="7"/>
  <c r="O569" i="7" l="1"/>
  <c r="C569" i="7"/>
  <c r="B569" i="7"/>
  <c r="O568" i="7" l="1"/>
  <c r="C568" i="7"/>
  <c r="B568" i="7" l="1"/>
  <c r="C565" i="7"/>
  <c r="O567" i="7"/>
  <c r="C567" i="7"/>
  <c r="B567" i="7" s="1"/>
  <c r="C563" i="7" l="1"/>
  <c r="C562" i="7"/>
  <c r="O566" i="7"/>
  <c r="C566" i="7"/>
  <c r="B566" i="7" l="1"/>
  <c r="O565" i="7"/>
  <c r="O564" i="7"/>
  <c r="C564" i="7"/>
  <c r="B565" i="7" l="1"/>
  <c r="B564" i="7"/>
  <c r="O563" i="7"/>
  <c r="C561" i="7"/>
  <c r="B563" i="7" l="1"/>
  <c r="O562" i="7"/>
  <c r="B562" i="7"/>
  <c r="L414" i="7" l="1"/>
  <c r="N414" i="7" s="1"/>
  <c r="L416" i="7" l="1"/>
  <c r="N416" i="7" s="1"/>
  <c r="L417" i="7"/>
  <c r="N417" i="7"/>
  <c r="L418" i="7"/>
  <c r="N418" i="7" s="1"/>
  <c r="L419" i="7"/>
  <c r="N419" i="7"/>
  <c r="L420" i="7"/>
  <c r="N420" i="7" s="1"/>
  <c r="L421" i="7"/>
  <c r="N421" i="7" s="1"/>
  <c r="L422" i="7"/>
  <c r="N422" i="7" s="1"/>
  <c r="L423" i="7"/>
  <c r="N423" i="7" s="1"/>
  <c r="L424" i="7"/>
  <c r="N424" i="7" s="1"/>
  <c r="L425" i="7"/>
  <c r="N425" i="7" s="1"/>
  <c r="L426" i="7"/>
  <c r="N426" i="7" s="1"/>
  <c r="L427" i="7"/>
  <c r="N427" i="7"/>
  <c r="L428" i="7"/>
  <c r="N428" i="7" s="1"/>
  <c r="L429" i="7"/>
  <c r="N429" i="7"/>
  <c r="L430" i="7"/>
  <c r="N430" i="7" s="1"/>
  <c r="L431" i="7"/>
  <c r="N431" i="7"/>
  <c r="L432" i="7"/>
  <c r="N432" i="7" s="1"/>
  <c r="L433" i="7"/>
  <c r="N433" i="7"/>
  <c r="L434" i="7"/>
  <c r="N434" i="7" s="1"/>
  <c r="L435" i="7"/>
  <c r="N435" i="7"/>
  <c r="L436" i="7"/>
  <c r="N436" i="7" s="1"/>
  <c r="L437" i="7"/>
  <c r="N437" i="7" s="1"/>
  <c r="L438" i="7"/>
  <c r="N438" i="7" s="1"/>
  <c r="L439" i="7"/>
  <c r="N439" i="7" s="1"/>
  <c r="L440" i="7"/>
  <c r="N440" i="7" s="1"/>
  <c r="L441" i="7"/>
  <c r="N441" i="7" s="1"/>
  <c r="L442" i="7"/>
  <c r="N442" i="7" s="1"/>
  <c r="L443" i="7"/>
  <c r="N443" i="7" s="1"/>
  <c r="L444" i="7"/>
  <c r="N444" i="7" s="1"/>
  <c r="L445" i="7"/>
  <c r="N445" i="7" s="1"/>
  <c r="L446" i="7"/>
  <c r="N446" i="7" s="1"/>
  <c r="L447" i="7"/>
  <c r="N447" i="7" s="1"/>
  <c r="L448" i="7"/>
  <c r="N448" i="7"/>
  <c r="L449" i="7"/>
  <c r="N449" i="7" s="1"/>
  <c r="L450" i="7"/>
  <c r="N450" i="7" s="1"/>
  <c r="L451" i="7"/>
  <c r="N451" i="7" s="1"/>
  <c r="L452" i="7"/>
  <c r="N452" i="7" s="1"/>
  <c r="L453" i="7"/>
  <c r="N453" i="7" s="1"/>
  <c r="L454" i="7"/>
  <c r="N454" i="7" s="1"/>
  <c r="L455" i="7"/>
  <c r="N455" i="7" s="1"/>
  <c r="L456" i="7"/>
  <c r="N456" i="7" s="1"/>
  <c r="L457" i="7"/>
  <c r="N457" i="7" s="1"/>
  <c r="L458" i="7"/>
  <c r="N458" i="7" s="1"/>
  <c r="L459" i="7"/>
  <c r="N459" i="7" s="1"/>
  <c r="L460" i="7"/>
  <c r="N460" i="7" s="1"/>
  <c r="L461" i="7"/>
  <c r="N461" i="7" s="1"/>
  <c r="L462" i="7"/>
  <c r="N462" i="7" s="1"/>
  <c r="L463" i="7"/>
  <c r="N463" i="7" s="1"/>
  <c r="L464" i="7"/>
  <c r="N464" i="7"/>
  <c r="L465" i="7"/>
  <c r="N465" i="7" s="1"/>
  <c r="L466" i="7"/>
  <c r="N466" i="7" s="1"/>
  <c r="L415" i="7"/>
  <c r="N415" i="7" s="1"/>
  <c r="L468" i="7"/>
  <c r="N468" i="7" s="1"/>
  <c r="L469" i="7"/>
  <c r="N469" i="7" s="1"/>
  <c r="L470" i="7"/>
  <c r="N470" i="7" s="1"/>
  <c r="L471" i="7"/>
  <c r="N471" i="7" s="1"/>
  <c r="L472" i="7"/>
  <c r="N472" i="7" s="1"/>
  <c r="L473" i="7"/>
  <c r="N473" i="7" s="1"/>
  <c r="L474" i="7"/>
  <c r="N474" i="7" s="1"/>
  <c r="L475" i="7"/>
  <c r="N475" i="7" s="1"/>
  <c r="L476" i="7"/>
  <c r="N476" i="7" s="1"/>
  <c r="L477" i="7"/>
  <c r="N477" i="7" s="1"/>
  <c r="L478" i="7"/>
  <c r="N478" i="7" s="1"/>
  <c r="L479" i="7"/>
  <c r="N479" i="7" s="1"/>
  <c r="L480" i="7"/>
  <c r="N480" i="7" s="1"/>
  <c r="L481" i="7"/>
  <c r="N481" i="7" s="1"/>
  <c r="L482" i="7"/>
  <c r="N482" i="7" s="1"/>
  <c r="L483" i="7"/>
  <c r="N483" i="7" s="1"/>
  <c r="L484" i="7"/>
  <c r="N484" i="7" s="1"/>
  <c r="L485" i="7"/>
  <c r="N485" i="7" s="1"/>
  <c r="L486" i="7"/>
  <c r="N486" i="7" s="1"/>
  <c r="L487" i="7"/>
  <c r="N487" i="7" s="1"/>
  <c r="L488" i="7"/>
  <c r="N488" i="7" s="1"/>
  <c r="L489" i="7"/>
  <c r="N489" i="7" s="1"/>
  <c r="L490" i="7"/>
  <c r="N490" i="7" s="1"/>
  <c r="L491" i="7"/>
  <c r="N491" i="7" s="1"/>
  <c r="L492" i="7"/>
  <c r="N492" i="7" s="1"/>
  <c r="L493" i="7"/>
  <c r="N493" i="7" s="1"/>
  <c r="L494" i="7"/>
  <c r="N494" i="7" s="1"/>
  <c r="L495" i="7"/>
  <c r="N495" i="7" s="1"/>
  <c r="L496" i="7"/>
  <c r="N496" i="7" s="1"/>
  <c r="L497" i="7"/>
  <c r="N497" i="7" s="1"/>
  <c r="L498" i="7"/>
  <c r="N498" i="7" s="1"/>
  <c r="L499" i="7"/>
  <c r="N499" i="7" s="1"/>
  <c r="L500" i="7"/>
  <c r="N500" i="7" s="1"/>
  <c r="L467" i="7"/>
  <c r="N467" i="7" s="1"/>
  <c r="O561" i="7" l="1"/>
  <c r="B561" i="7" l="1"/>
  <c r="O560" i="7"/>
  <c r="C560" i="7"/>
  <c r="C558" i="7"/>
  <c r="B560" i="7" l="1"/>
  <c r="O559" i="7"/>
  <c r="C559" i="7"/>
  <c r="B559" i="7" l="1"/>
  <c r="O558" i="7"/>
  <c r="B558" i="7"/>
  <c r="O557" i="7" l="1"/>
  <c r="C557" i="7"/>
  <c r="B557" i="7" l="1"/>
  <c r="O556" i="7"/>
  <c r="C556" i="7"/>
  <c r="B556" i="7" l="1"/>
  <c r="O555" i="7"/>
  <c r="C555" i="7"/>
  <c r="B555" i="7"/>
  <c r="O554" i="7" l="1"/>
  <c r="C554" i="7"/>
  <c r="B554" i="7"/>
  <c r="O553" i="7" l="1"/>
  <c r="C553" i="7"/>
  <c r="C551" i="7"/>
  <c r="L551" i="7" s="1"/>
  <c r="N551" i="7" s="1"/>
  <c r="B553" i="7" l="1"/>
  <c r="O552" i="7"/>
  <c r="C552" i="7"/>
  <c r="L552" i="7" s="1"/>
  <c r="N552" i="7" s="1"/>
  <c r="B552" i="7" l="1"/>
  <c r="O551" i="7"/>
  <c r="B551" i="7" l="1"/>
  <c r="O550" i="7"/>
  <c r="C550" i="7"/>
  <c r="L550" i="7" s="1"/>
  <c r="N550" i="7" s="1"/>
  <c r="B550" i="7" l="1"/>
  <c r="O549" i="7"/>
  <c r="C549" i="7"/>
  <c r="L549" i="7" s="1"/>
  <c r="N549" i="7" s="1"/>
  <c r="B549" i="7" l="1"/>
  <c r="O548" i="7"/>
  <c r="C548" i="7"/>
  <c r="L548" i="7" s="1"/>
  <c r="N548" i="7" s="1"/>
  <c r="B548" i="7" l="1"/>
  <c r="O547" i="7"/>
  <c r="C547" i="7"/>
  <c r="B547" i="7" l="1"/>
  <c r="L547" i="7"/>
  <c r="N547" i="7" s="1"/>
  <c r="O546" i="7"/>
  <c r="C546" i="7"/>
  <c r="B546" i="7" l="1"/>
  <c r="L546" i="7"/>
  <c r="N546" i="7" s="1"/>
  <c r="O545" i="7"/>
  <c r="C545" i="7"/>
  <c r="L545" i="7" s="1"/>
  <c r="N545" i="7" s="1"/>
  <c r="B545" i="7" l="1"/>
  <c r="O544" i="7"/>
  <c r="C544" i="7"/>
  <c r="L544" i="7" s="1"/>
  <c r="N544" i="7" s="1"/>
  <c r="B544" i="7" l="1"/>
  <c r="O543" i="7"/>
  <c r="C543" i="7"/>
  <c r="L543" i="7" s="1"/>
  <c r="N543" i="7" s="1"/>
  <c r="B543" i="7" l="1"/>
  <c r="O542" i="7"/>
  <c r="C542" i="7"/>
  <c r="C540" i="7"/>
  <c r="L540" i="7" s="1"/>
  <c r="N540" i="7" s="1"/>
  <c r="B542" i="7" l="1"/>
  <c r="L542" i="7"/>
  <c r="N542" i="7" s="1"/>
  <c r="O541" i="7"/>
  <c r="C541" i="7"/>
  <c r="L541" i="7" s="1"/>
  <c r="N541" i="7" s="1"/>
  <c r="B541" i="7" l="1"/>
  <c r="C539" i="7"/>
  <c r="L539" i="7" s="1"/>
  <c r="N539" i="7" s="1"/>
  <c r="O540" i="7" l="1"/>
  <c r="B540" i="7" l="1"/>
  <c r="O539" i="7"/>
  <c r="B539" i="7" l="1"/>
  <c r="O538" i="7"/>
  <c r="C538" i="7"/>
  <c r="L538" i="7" s="1"/>
  <c r="N538" i="7" s="1"/>
  <c r="B538" i="7" l="1"/>
  <c r="O537" i="7"/>
  <c r="C537" i="7"/>
  <c r="L537" i="7" s="1"/>
  <c r="N537" i="7" s="1"/>
  <c r="B537" i="7" l="1"/>
  <c r="C536" i="7"/>
  <c r="L536" i="7" s="1"/>
  <c r="N536" i="7" s="1"/>
  <c r="O536" i="7"/>
  <c r="B536" i="7" l="1"/>
  <c r="O535" i="7"/>
  <c r="C535" i="7"/>
  <c r="L535" i="7" s="1"/>
  <c r="N535" i="7" s="1"/>
  <c r="B535" i="7" l="1"/>
  <c r="O534" i="7"/>
  <c r="C534" i="7"/>
  <c r="L534" i="7" s="1"/>
  <c r="N534" i="7" s="1"/>
  <c r="C532" i="7"/>
  <c r="L532" i="7" s="1"/>
  <c r="N532" i="7" s="1"/>
  <c r="B534" i="7" l="1"/>
  <c r="O533" i="7"/>
  <c r="C533" i="7"/>
  <c r="L533" i="7" s="1"/>
  <c r="N533" i="7" s="1"/>
  <c r="B533" i="7" l="1"/>
  <c r="O532" i="7"/>
  <c r="B532" i="7"/>
  <c r="O531" i="7" l="1"/>
  <c r="C531" i="7"/>
  <c r="L531" i="7" s="1"/>
  <c r="N531" i="7" s="1"/>
  <c r="B531" i="7" l="1"/>
  <c r="O530" i="7"/>
  <c r="C528" i="7"/>
  <c r="C530" i="7"/>
  <c r="L530" i="7" l="1"/>
  <c r="N530" i="7" s="1"/>
  <c r="L582" i="7"/>
  <c r="N582" i="7" s="1"/>
  <c r="L528" i="7"/>
  <c r="N528" i="7" s="1"/>
  <c r="L580" i="7"/>
  <c r="N580" i="7" s="1"/>
  <c r="B530" i="7"/>
  <c r="K582" i="7" s="1"/>
  <c r="M582" i="7" s="1"/>
  <c r="O529" i="7"/>
  <c r="C529" i="7"/>
  <c r="C527" i="7"/>
  <c r="L527" i="7" l="1"/>
  <c r="N527" i="7" s="1"/>
  <c r="L579" i="7"/>
  <c r="N579" i="7" s="1"/>
  <c r="L529" i="7"/>
  <c r="N529" i="7" s="1"/>
  <c r="L581" i="7"/>
  <c r="N581" i="7" s="1"/>
  <c r="B529" i="7"/>
  <c r="K581" i="7" s="1"/>
  <c r="M581" i="7" s="1"/>
  <c r="O528" i="7"/>
  <c r="B528" i="7"/>
  <c r="K580" i="7" s="1"/>
  <c r="M580" i="7" s="1"/>
  <c r="O527" i="7" l="1"/>
  <c r="B527" i="7" l="1"/>
  <c r="K579" i="7" s="1"/>
  <c r="M579" i="7" s="1"/>
  <c r="O526" i="7"/>
  <c r="C526" i="7"/>
  <c r="L526" i="7" l="1"/>
  <c r="N526" i="7" s="1"/>
  <c r="L578" i="7"/>
  <c r="N578" i="7" s="1"/>
  <c r="B526" i="7"/>
  <c r="K578" i="7" s="1"/>
  <c r="M578" i="7" s="1"/>
  <c r="O525" i="7"/>
  <c r="C525" i="7"/>
  <c r="L525" i="7" l="1"/>
  <c r="N525" i="7" s="1"/>
  <c r="L577" i="7"/>
  <c r="N577" i="7" s="1"/>
  <c r="B525" i="7"/>
  <c r="K577" i="7" s="1"/>
  <c r="M577" i="7" s="1"/>
  <c r="O524" i="7"/>
  <c r="C524" i="7"/>
  <c r="L524" i="7" l="1"/>
  <c r="N524" i="7" s="1"/>
  <c r="L576" i="7"/>
  <c r="N576" i="7" s="1"/>
  <c r="B524" i="7"/>
  <c r="K576" i="7" s="1"/>
  <c r="M576" i="7" s="1"/>
  <c r="O523" i="7"/>
  <c r="C523" i="7"/>
  <c r="L523" i="7" l="1"/>
  <c r="N523" i="7" s="1"/>
  <c r="L575" i="7"/>
  <c r="N575" i="7" s="1"/>
  <c r="B523" i="7"/>
  <c r="K575" i="7" s="1"/>
  <c r="M575" i="7" s="1"/>
  <c r="O522" i="7"/>
  <c r="C522" i="7"/>
  <c r="C520" i="7"/>
  <c r="L520" i="7" l="1"/>
  <c r="N520" i="7" s="1"/>
  <c r="L572" i="7"/>
  <c r="N572" i="7" s="1"/>
  <c r="L522" i="7"/>
  <c r="N522" i="7" s="1"/>
  <c r="L574" i="7"/>
  <c r="N574" i="7" s="1"/>
  <c r="B522" i="7"/>
  <c r="K574" i="7" s="1"/>
  <c r="M574" i="7" s="1"/>
  <c r="O521" i="7"/>
  <c r="C521" i="7"/>
  <c r="L521" i="7" l="1"/>
  <c r="N521" i="7" s="1"/>
  <c r="L573" i="7"/>
  <c r="N573" i="7" s="1"/>
  <c r="B521" i="7"/>
  <c r="K573" i="7" s="1"/>
  <c r="M573" i="7" s="1"/>
  <c r="O520" i="7"/>
  <c r="B520" i="7" l="1"/>
  <c r="K572" i="7" s="1"/>
  <c r="M572" i="7" s="1"/>
  <c r="O519" i="7"/>
  <c r="C519" i="7"/>
  <c r="L519" i="7" l="1"/>
  <c r="N519" i="7" s="1"/>
  <c r="L571" i="7"/>
  <c r="N571" i="7" s="1"/>
  <c r="B519" i="7"/>
  <c r="K571" i="7" s="1"/>
  <c r="M571" i="7" s="1"/>
  <c r="O518" i="7"/>
  <c r="C518" i="7"/>
  <c r="C517" i="7"/>
  <c r="L517" i="7" l="1"/>
  <c r="N517" i="7" s="1"/>
  <c r="L569" i="7"/>
  <c r="N569" i="7" s="1"/>
  <c r="L518" i="7"/>
  <c r="N518" i="7" s="1"/>
  <c r="L570" i="7"/>
  <c r="N570" i="7" s="1"/>
  <c r="B518" i="7"/>
  <c r="K570" i="7" s="1"/>
  <c r="M570" i="7" s="1"/>
  <c r="O517" i="7"/>
  <c r="B517" i="7"/>
  <c r="K569" i="7" s="1"/>
  <c r="M569" i="7" s="1"/>
  <c r="C515" i="7"/>
  <c r="L515" i="7" l="1"/>
  <c r="N515" i="7" s="1"/>
  <c r="L567" i="7"/>
  <c r="N567" i="7" s="1"/>
  <c r="O516" i="7"/>
  <c r="C516" i="7"/>
  <c r="L568" i="7" s="1"/>
  <c r="N568" i="7" s="1"/>
  <c r="B516" i="7" l="1"/>
  <c r="K568" i="7" s="1"/>
  <c r="M568" i="7" s="1"/>
  <c r="L516" i="7"/>
  <c r="N516" i="7" s="1"/>
  <c r="C514" i="7"/>
  <c r="L514" i="7" l="1"/>
  <c r="N514" i="7" s="1"/>
  <c r="L566" i="7"/>
  <c r="N566" i="7" s="1"/>
  <c r="O515" i="7"/>
  <c r="B515" i="7"/>
  <c r="K567" i="7" s="1"/>
  <c r="M567" i="7" s="1"/>
  <c r="O514" i="7" l="1"/>
  <c r="B514" i="7"/>
  <c r="K566" i="7" s="1"/>
  <c r="M566" i="7" s="1"/>
  <c r="O513" i="7"/>
  <c r="C513" i="7"/>
  <c r="L513" i="7" l="1"/>
  <c r="N513" i="7" s="1"/>
  <c r="L565" i="7"/>
  <c r="N565" i="7" s="1"/>
  <c r="B513" i="7"/>
  <c r="K565" i="7" s="1"/>
  <c r="M565" i="7" s="1"/>
  <c r="O512" i="7"/>
  <c r="C512" i="7"/>
  <c r="B512" i="7"/>
  <c r="K564" i="7" s="1"/>
  <c r="M564" i="7" s="1"/>
  <c r="C510" i="7"/>
  <c r="O511" i="7"/>
  <c r="C511" i="7"/>
  <c r="L512" i="7" l="1"/>
  <c r="N512" i="7" s="1"/>
  <c r="L564" i="7"/>
  <c r="N564" i="7" s="1"/>
  <c r="L510" i="7"/>
  <c r="N510" i="7" s="1"/>
  <c r="L562" i="7"/>
  <c r="N562" i="7" s="1"/>
  <c r="L511" i="7"/>
  <c r="N511" i="7" s="1"/>
  <c r="L563" i="7"/>
  <c r="N563" i="7" s="1"/>
  <c r="B511" i="7"/>
  <c r="K563" i="7" s="1"/>
  <c r="M563" i="7" s="1"/>
  <c r="O510" i="7"/>
  <c r="B510" i="7"/>
  <c r="K562" i="7" s="1"/>
  <c r="M562" i="7" s="1"/>
  <c r="O509" i="7"/>
  <c r="C509" i="7"/>
  <c r="C508" i="7"/>
  <c r="L509" i="7" l="1"/>
  <c r="N509" i="7" s="1"/>
  <c r="L561" i="7"/>
  <c r="N561" i="7" s="1"/>
  <c r="L508" i="7"/>
  <c r="N508" i="7" s="1"/>
  <c r="L560" i="7"/>
  <c r="N560" i="7" s="1"/>
  <c r="B509" i="7"/>
  <c r="O508" i="7"/>
  <c r="B508" i="7"/>
  <c r="O507" i="7"/>
  <c r="C507" i="7"/>
  <c r="O506" i="7"/>
  <c r="C506" i="7"/>
  <c r="B506" i="7"/>
  <c r="K561" i="7" l="1"/>
  <c r="M561" i="7" s="1"/>
  <c r="L507" i="7"/>
  <c r="N507" i="7" s="1"/>
  <c r="L559" i="7"/>
  <c r="N559" i="7" s="1"/>
  <c r="K558" i="7"/>
  <c r="M558" i="7" s="1"/>
  <c r="L506" i="7"/>
  <c r="N506" i="7" s="1"/>
  <c r="L558" i="7"/>
  <c r="N558" i="7" s="1"/>
  <c r="K560" i="7"/>
  <c r="M560" i="7" s="1"/>
  <c r="B507" i="7"/>
  <c r="C505" i="7"/>
  <c r="O505" i="7"/>
  <c r="O504" i="7"/>
  <c r="C504" i="7"/>
  <c r="L505" i="7" l="1"/>
  <c r="N505" i="7" s="1"/>
  <c r="L557" i="7"/>
  <c r="N557" i="7" s="1"/>
  <c r="L504" i="7"/>
  <c r="N504" i="7" s="1"/>
  <c r="L556" i="7"/>
  <c r="N556" i="7" s="1"/>
  <c r="K559" i="7"/>
  <c r="M559" i="7" s="1"/>
  <c r="B504" i="7"/>
  <c r="B505" i="7"/>
  <c r="O503" i="7"/>
  <c r="C503" i="7"/>
  <c r="B503" i="7"/>
  <c r="K556" i="7" l="1"/>
  <c r="M556" i="7" s="1"/>
  <c r="K557" i="7"/>
  <c r="M557" i="7" s="1"/>
  <c r="K555" i="7"/>
  <c r="M555" i="7" s="1"/>
  <c r="L503" i="7"/>
  <c r="N503" i="7" s="1"/>
  <c r="L555" i="7"/>
  <c r="N555" i="7" s="1"/>
  <c r="O502" i="7"/>
  <c r="C502" i="7"/>
  <c r="B502" i="7"/>
  <c r="O501" i="7"/>
  <c r="C501" i="7"/>
  <c r="K554" i="7" l="1"/>
  <c r="M554" i="7" s="1"/>
  <c r="L502" i="7"/>
  <c r="N502" i="7" s="1"/>
  <c r="L554" i="7"/>
  <c r="N554" i="7" s="1"/>
  <c r="L501" i="7"/>
  <c r="N501" i="7" s="1"/>
  <c r="L553" i="7"/>
  <c r="N553" i="7" s="1"/>
  <c r="B501" i="7"/>
  <c r="K553" i="7" l="1"/>
  <c r="M553" i="7" s="1"/>
  <c r="B500" i="7"/>
  <c r="B499" i="7"/>
  <c r="K552" i="7" l="1"/>
  <c r="M552" i="7" s="1"/>
  <c r="K551" i="7"/>
  <c r="M551" i="7" s="1"/>
  <c r="B497" i="7"/>
  <c r="B498" i="7"/>
  <c r="K550" i="7" l="1"/>
  <c r="M550" i="7" s="1"/>
  <c r="K549" i="7"/>
  <c r="M549" i="7" s="1"/>
  <c r="B496" i="7"/>
  <c r="K548" i="7" l="1"/>
  <c r="M548" i="7" s="1"/>
  <c r="B495" i="7"/>
  <c r="K547" i="7" l="1"/>
  <c r="M547" i="7" s="1"/>
  <c r="B494" i="7"/>
  <c r="K546" i="7" l="1"/>
  <c r="M546" i="7" s="1"/>
  <c r="B493" i="7"/>
  <c r="K545" i="7" l="1"/>
  <c r="M545" i="7" s="1"/>
  <c r="B492" i="7"/>
  <c r="K544" i="7" l="1"/>
  <c r="M544" i="7" s="1"/>
  <c r="B491" i="7"/>
  <c r="K543" i="7" l="1"/>
  <c r="M543" i="7" s="1"/>
  <c r="B490" i="7"/>
  <c r="K542" i="7" l="1"/>
  <c r="M542" i="7" s="1"/>
  <c r="B489" i="7"/>
  <c r="K541" i="7" l="1"/>
  <c r="M541" i="7" s="1"/>
  <c r="B488" i="7"/>
  <c r="K540" i="7" l="1"/>
  <c r="M540" i="7" s="1"/>
  <c r="B487" i="7"/>
  <c r="K539" i="7" l="1"/>
  <c r="M539" i="7" s="1"/>
  <c r="B486" i="7"/>
  <c r="K538" i="7" l="1"/>
  <c r="M538" i="7" s="1"/>
  <c r="B485" i="7"/>
  <c r="K537" i="7" l="1"/>
  <c r="M537" i="7" s="1"/>
  <c r="B484" i="7"/>
  <c r="K536" i="7" l="1"/>
  <c r="M536" i="7" s="1"/>
  <c r="B483" i="7"/>
  <c r="K535" i="7" l="1"/>
  <c r="M535" i="7" s="1"/>
  <c r="B482" i="7"/>
  <c r="K534" i="7" l="1"/>
  <c r="M534" i="7" s="1"/>
  <c r="B481" i="7"/>
  <c r="K533" i="7" l="1"/>
  <c r="M533" i="7" s="1"/>
  <c r="B480" i="7"/>
  <c r="K532" i="7" l="1"/>
  <c r="M532" i="7" s="1"/>
  <c r="B479" i="7"/>
  <c r="K531" i="7" l="1"/>
  <c r="M531" i="7" s="1"/>
  <c r="B478" i="7"/>
  <c r="K530" i="7" l="1"/>
  <c r="M530" i="7" s="1"/>
  <c r="B477" i="7"/>
  <c r="K529" i="7" l="1"/>
  <c r="M529" i="7" s="1"/>
  <c r="B476" i="7"/>
  <c r="K528" i="7" l="1"/>
  <c r="M528" i="7" s="1"/>
  <c r="B475" i="7"/>
  <c r="K527" i="7" l="1"/>
  <c r="M527" i="7" s="1"/>
  <c r="B474" i="7"/>
  <c r="K526" i="7" l="1"/>
  <c r="M526" i="7" s="1"/>
  <c r="B473" i="7"/>
  <c r="K525" i="7" l="1"/>
  <c r="M525" i="7" s="1"/>
  <c r="B472" i="7"/>
  <c r="B469" i="7"/>
  <c r="B470" i="7"/>
  <c r="B471" i="7"/>
  <c r="K521" i="7" l="1"/>
  <c r="M521" i="7" s="1"/>
  <c r="K524" i="7"/>
  <c r="M524" i="7" s="1"/>
  <c r="K523" i="7"/>
  <c r="M523" i="7" s="1"/>
  <c r="K522" i="7"/>
  <c r="M522" i="7" s="1"/>
  <c r="B468" i="7"/>
  <c r="B467" i="7"/>
  <c r="K519" i="7" l="1"/>
  <c r="M519" i="7" s="1"/>
  <c r="K520" i="7"/>
  <c r="M520" i="7" s="1"/>
  <c r="B465" i="7"/>
  <c r="B466" i="7"/>
  <c r="K518" i="7" l="1"/>
  <c r="M518" i="7" s="1"/>
  <c r="K517" i="7"/>
  <c r="M517" i="7" s="1"/>
  <c r="B464" i="7"/>
  <c r="K516" i="7" l="1"/>
  <c r="M516" i="7" s="1"/>
  <c r="B463" i="7"/>
  <c r="K515" i="7" l="1"/>
  <c r="M515" i="7" s="1"/>
  <c r="B462" i="7"/>
  <c r="K514" i="7" l="1"/>
  <c r="M514" i="7" s="1"/>
  <c r="B461" i="7"/>
  <c r="B459" i="7"/>
  <c r="B460" i="7"/>
  <c r="K511" i="7" l="1"/>
  <c r="M511" i="7" s="1"/>
  <c r="K513" i="7"/>
  <c r="M513" i="7" s="1"/>
  <c r="K512" i="7"/>
  <c r="M512" i="7" s="1"/>
  <c r="B458" i="7"/>
  <c r="K510" i="7" l="1"/>
  <c r="M510" i="7" s="1"/>
  <c r="B456" i="7"/>
  <c r="B455" i="7"/>
  <c r="B457" i="7"/>
  <c r="K507" i="7" l="1"/>
  <c r="M507" i="7" s="1"/>
  <c r="K508" i="7"/>
  <c r="M508" i="7" s="1"/>
  <c r="K509" i="7"/>
  <c r="M509" i="7" s="1"/>
  <c r="B454" i="7"/>
  <c r="K506" i="7" l="1"/>
  <c r="M506" i="7" s="1"/>
  <c r="B453" i="7"/>
  <c r="K505" i="7" l="1"/>
  <c r="M505" i="7" s="1"/>
  <c r="B452" i="7"/>
  <c r="K504" i="7" l="1"/>
  <c r="M504" i="7" s="1"/>
  <c r="B451" i="7"/>
  <c r="K503" i="7" l="1"/>
  <c r="M503" i="7" s="1"/>
  <c r="B450" i="7"/>
  <c r="K502" i="7" l="1"/>
  <c r="M502" i="7" s="1"/>
  <c r="B449" i="7"/>
  <c r="B448" i="7"/>
  <c r="K501" i="7" l="1"/>
  <c r="M501" i="7" s="1"/>
  <c r="K500" i="7"/>
  <c r="M500" i="7" s="1"/>
  <c r="B447" i="7"/>
  <c r="K499" i="7" l="1"/>
  <c r="M499" i="7" s="1"/>
  <c r="B446" i="7"/>
  <c r="K498" i="7" l="1"/>
  <c r="M498" i="7" s="1"/>
  <c r="B445" i="7"/>
  <c r="K497" i="7" l="1"/>
  <c r="M497" i="7" s="1"/>
  <c r="B444" i="7"/>
  <c r="K496" i="7" l="1"/>
  <c r="M496" i="7" s="1"/>
  <c r="B443" i="7"/>
  <c r="K495" i="7" l="1"/>
  <c r="M495" i="7" s="1"/>
  <c r="B442" i="7"/>
  <c r="K494" i="7" l="1"/>
  <c r="M494" i="7" s="1"/>
  <c r="B441" i="7"/>
  <c r="K493" i="7" l="1"/>
  <c r="M493" i="7" s="1"/>
  <c r="B440" i="7"/>
  <c r="K492" i="7" l="1"/>
  <c r="M492" i="7" s="1"/>
  <c r="B439" i="7"/>
  <c r="K491" i="7" l="1"/>
  <c r="M491" i="7" s="1"/>
  <c r="B438" i="7"/>
  <c r="K490" i="7" l="1"/>
  <c r="M490" i="7" s="1"/>
  <c r="B437" i="7"/>
  <c r="K489" i="7" l="1"/>
  <c r="M489" i="7" s="1"/>
  <c r="B436" i="7"/>
  <c r="K488" i="7" l="1"/>
  <c r="M488" i="7" s="1"/>
  <c r="B435" i="7"/>
  <c r="K487" i="7" l="1"/>
  <c r="M487" i="7" s="1"/>
  <c r="B434" i="7"/>
  <c r="K486" i="7" l="1"/>
  <c r="M486" i="7" s="1"/>
  <c r="B433" i="7"/>
  <c r="K485" i="7" l="1"/>
  <c r="M485" i="7" s="1"/>
  <c r="B432" i="7"/>
  <c r="K484" i="7" l="1"/>
  <c r="M484" i="7" s="1"/>
  <c r="B431" i="7"/>
  <c r="K483" i="7" l="1"/>
  <c r="M483" i="7" s="1"/>
  <c r="B430" i="7"/>
  <c r="K482" i="7" l="1"/>
  <c r="M482" i="7" s="1"/>
  <c r="B429" i="7"/>
  <c r="K481" i="7" l="1"/>
  <c r="M481" i="7" s="1"/>
  <c r="B428" i="7"/>
  <c r="K480" i="7" l="1"/>
  <c r="M480" i="7" s="1"/>
  <c r="B427" i="7"/>
  <c r="K479" i="7" l="1"/>
  <c r="M479" i="7" s="1"/>
  <c r="B426" i="7"/>
  <c r="K478" i="7" l="1"/>
  <c r="M478" i="7" s="1"/>
  <c r="B425" i="7"/>
  <c r="K477" i="7" l="1"/>
  <c r="M477" i="7" s="1"/>
  <c r="B424" i="7"/>
  <c r="K476" i="7" l="1"/>
  <c r="M476" i="7" s="1"/>
  <c r="B423" i="7"/>
  <c r="K475" i="7" l="1"/>
  <c r="M475" i="7" s="1"/>
  <c r="B422" i="7"/>
  <c r="K474" i="7" l="1"/>
  <c r="M474" i="7" s="1"/>
  <c r="B421" i="7"/>
  <c r="K473" i="7" l="1"/>
  <c r="M473" i="7" s="1"/>
  <c r="B420" i="7"/>
  <c r="K472" i="7" l="1"/>
  <c r="M472" i="7" s="1"/>
  <c r="B419" i="7"/>
  <c r="K471" i="7" l="1"/>
  <c r="M471" i="7" s="1"/>
  <c r="B418" i="7"/>
  <c r="K470" i="7" l="1"/>
  <c r="M470" i="7" s="1"/>
  <c r="B417" i="7"/>
  <c r="K469" i="7" l="1"/>
  <c r="M469" i="7" s="1"/>
  <c r="B416" i="7"/>
  <c r="K468" i="7" l="1"/>
  <c r="M468" i="7" s="1"/>
  <c r="B415" i="7"/>
  <c r="K467" i="7" l="1"/>
  <c r="M467" i="7" s="1"/>
  <c r="B414" i="7"/>
  <c r="K466" i="7" l="1"/>
  <c r="M466" i="7" s="1"/>
  <c r="B413" i="7"/>
  <c r="K465" i="7" s="1"/>
  <c r="M465" i="7" s="1"/>
  <c r="L413" i="7"/>
  <c r="N413" i="7" s="1"/>
  <c r="B412" i="7" l="1"/>
  <c r="K464" i="7" s="1"/>
  <c r="M464" i="7" s="1"/>
  <c r="L412" i="7"/>
  <c r="N412" i="7" s="1"/>
  <c r="B411" i="7" l="1"/>
  <c r="K463" i="7" s="1"/>
  <c r="M463" i="7" s="1"/>
  <c r="L411" i="7"/>
  <c r="N411" i="7" s="1"/>
  <c r="B410" i="7" l="1"/>
  <c r="K462" i="7" s="1"/>
  <c r="M462" i="7" s="1"/>
  <c r="L410" i="7"/>
  <c r="N410" i="7" s="1"/>
  <c r="B409" i="7" l="1"/>
  <c r="K461" i="7" s="1"/>
  <c r="M461" i="7" s="1"/>
  <c r="L409" i="7"/>
  <c r="N409" i="7" s="1"/>
  <c r="B408" i="7" l="1"/>
  <c r="K460" i="7" s="1"/>
  <c r="M460" i="7" s="1"/>
  <c r="L408" i="7"/>
  <c r="N408" i="7" s="1"/>
  <c r="B407" i="7" l="1"/>
  <c r="K459" i="7" s="1"/>
  <c r="M459" i="7" s="1"/>
  <c r="L407" i="7"/>
  <c r="N407" i="7" s="1"/>
  <c r="B406" i="7" l="1"/>
  <c r="K458" i="7" s="1"/>
  <c r="M458" i="7" s="1"/>
  <c r="L406" i="7"/>
  <c r="N406" i="7" s="1"/>
  <c r="B405" i="7" l="1"/>
  <c r="K457" i="7" s="1"/>
  <c r="M457" i="7" s="1"/>
  <c r="L405" i="7"/>
  <c r="N405" i="7" s="1"/>
  <c r="B404" i="7" l="1"/>
  <c r="K456" i="7" s="1"/>
  <c r="M456" i="7" s="1"/>
  <c r="L404" i="7"/>
  <c r="N404" i="7" s="1"/>
  <c r="B403" i="7" l="1"/>
  <c r="K455" i="7" s="1"/>
  <c r="M455" i="7" s="1"/>
  <c r="L403" i="7"/>
  <c r="N403" i="7" s="1"/>
  <c r="B402" i="7" l="1"/>
  <c r="K454" i="7" s="1"/>
  <c r="M454" i="7" s="1"/>
  <c r="L402" i="7"/>
  <c r="N402" i="7" s="1"/>
  <c r="B401" i="7" l="1"/>
  <c r="K453" i="7" s="1"/>
  <c r="M453" i="7" s="1"/>
  <c r="L401" i="7"/>
  <c r="N401" i="7" s="1"/>
  <c r="B400" i="7" l="1"/>
  <c r="K452" i="7" s="1"/>
  <c r="M452" i="7" s="1"/>
  <c r="L400" i="7"/>
  <c r="N400" i="7" s="1"/>
  <c r="B399" i="7" l="1"/>
  <c r="K451" i="7" s="1"/>
  <c r="M451" i="7" s="1"/>
  <c r="L399" i="7"/>
  <c r="N399" i="7" s="1"/>
  <c r="B398" i="7" l="1"/>
  <c r="K450" i="7" s="1"/>
  <c r="M450" i="7" s="1"/>
  <c r="L398" i="7"/>
  <c r="N398" i="7" s="1"/>
  <c r="B397" i="7" l="1"/>
  <c r="K449" i="7" s="1"/>
  <c r="M449" i="7" s="1"/>
  <c r="L397" i="7"/>
  <c r="N397" i="7" s="1"/>
  <c r="B396" i="7" l="1"/>
  <c r="K448" i="7" s="1"/>
  <c r="M448" i="7" s="1"/>
  <c r="L396" i="7"/>
  <c r="N396" i="7" s="1"/>
  <c r="B395" i="7" l="1"/>
  <c r="K447" i="7" s="1"/>
  <c r="M447" i="7" s="1"/>
  <c r="L395" i="7"/>
  <c r="N395" i="7" s="1"/>
  <c r="B394" i="7" l="1"/>
  <c r="K446" i="7" s="1"/>
  <c r="M446" i="7" s="1"/>
  <c r="L394" i="7"/>
  <c r="N394" i="7" s="1"/>
  <c r="B393" i="7" l="1"/>
  <c r="K445" i="7" s="1"/>
  <c r="M445" i="7" s="1"/>
  <c r="L393" i="7"/>
  <c r="N393" i="7" s="1"/>
  <c r="B392" i="7" l="1"/>
  <c r="K444" i="7" s="1"/>
  <c r="M444" i="7" s="1"/>
  <c r="L392" i="7"/>
  <c r="N392" i="7" s="1"/>
  <c r="B391" i="7" l="1"/>
  <c r="K443" i="7" s="1"/>
  <c r="M443" i="7" s="1"/>
  <c r="L391" i="7"/>
  <c r="N391" i="7" s="1"/>
  <c r="B390" i="7" l="1"/>
  <c r="K442" i="7" s="1"/>
  <c r="M442" i="7" s="1"/>
  <c r="L390" i="7"/>
  <c r="N390" i="7" s="1"/>
  <c r="B389" i="7" l="1"/>
  <c r="K441" i="7" s="1"/>
  <c r="M441" i="7" s="1"/>
  <c r="L389" i="7"/>
  <c r="N389" i="7" s="1"/>
  <c r="B388" i="7" l="1"/>
  <c r="K440" i="7" s="1"/>
  <c r="M440" i="7" s="1"/>
  <c r="L388" i="7"/>
  <c r="N388" i="7" s="1"/>
  <c r="B387" i="7" l="1"/>
  <c r="K439" i="7" s="1"/>
  <c r="M439" i="7" s="1"/>
  <c r="L387" i="7"/>
  <c r="N387" i="7" s="1"/>
  <c r="B386" i="7" l="1"/>
  <c r="K438" i="7" s="1"/>
  <c r="M438" i="7" s="1"/>
  <c r="L386" i="7"/>
  <c r="N386" i="7" s="1"/>
  <c r="B385" i="7" l="1"/>
  <c r="K437" i="7" s="1"/>
  <c r="M437" i="7" s="1"/>
  <c r="L385" i="7"/>
  <c r="N385" i="7" s="1"/>
  <c r="B384" i="7" l="1"/>
  <c r="K436" i="7" s="1"/>
  <c r="M436" i="7" s="1"/>
  <c r="L384" i="7"/>
  <c r="N384" i="7" s="1"/>
  <c r="B383" i="7" l="1"/>
  <c r="K435" i="7" s="1"/>
  <c r="M435" i="7" s="1"/>
  <c r="L383" i="7"/>
  <c r="N383" i="7" s="1"/>
  <c r="B382" i="7" l="1"/>
  <c r="K434" i="7" s="1"/>
  <c r="M434" i="7" s="1"/>
  <c r="L382" i="7"/>
  <c r="N382" i="7" s="1"/>
  <c r="B381" i="7" l="1"/>
  <c r="K433" i="7" s="1"/>
  <c r="M433" i="7" s="1"/>
  <c r="L381" i="7"/>
  <c r="N381" i="7" s="1"/>
  <c r="L380" i="7" l="1"/>
  <c r="B380" i="7"/>
  <c r="K432" i="7" s="1"/>
  <c r="M432" i="7" s="1"/>
  <c r="B379" i="7"/>
  <c r="K431" i="7" s="1"/>
  <c r="M431" i="7" s="1"/>
  <c r="L379" i="7" l="1"/>
  <c r="N379" i="7" s="1"/>
  <c r="B378" i="7" l="1"/>
  <c r="K430" i="7" s="1"/>
  <c r="M430" i="7" s="1"/>
  <c r="L378" i="7"/>
  <c r="N378" i="7" s="1"/>
  <c r="B377" i="7" l="1"/>
  <c r="K429" i="7" s="1"/>
  <c r="M429" i="7" s="1"/>
  <c r="L377" i="7"/>
  <c r="N377" i="7" s="1"/>
  <c r="B376" i="7" l="1"/>
  <c r="K428" i="7" s="1"/>
  <c r="M428" i="7" s="1"/>
  <c r="L376" i="7"/>
  <c r="N376" i="7" s="1"/>
  <c r="B375" i="7" l="1"/>
  <c r="K427" i="7" s="1"/>
  <c r="M427" i="7" s="1"/>
  <c r="L375" i="7"/>
  <c r="N375" i="7" s="1"/>
  <c r="B374" i="7" l="1"/>
  <c r="K426" i="7" s="1"/>
  <c r="M426" i="7" s="1"/>
  <c r="L374" i="7"/>
  <c r="N374" i="7" s="1"/>
  <c r="B373" i="7" l="1"/>
  <c r="K425" i="7" s="1"/>
  <c r="M425" i="7" s="1"/>
  <c r="L373" i="7"/>
  <c r="N373" i="7" s="1"/>
  <c r="B372" i="7" l="1"/>
  <c r="K424" i="7" s="1"/>
  <c r="M424" i="7" s="1"/>
  <c r="L372" i="7"/>
  <c r="N372" i="7" s="1"/>
  <c r="B371" i="7" l="1"/>
  <c r="K423" i="7" s="1"/>
  <c r="M423" i="7" s="1"/>
  <c r="L371" i="7"/>
  <c r="N371" i="7" s="1"/>
  <c r="B370" i="7" l="1"/>
  <c r="K422" i="7" s="1"/>
  <c r="M422" i="7" s="1"/>
  <c r="L370" i="7"/>
  <c r="N370" i="7" s="1"/>
  <c r="B369" i="7" l="1"/>
  <c r="K421" i="7" s="1"/>
  <c r="M421" i="7" s="1"/>
  <c r="L369" i="7"/>
  <c r="N369" i="7" s="1"/>
  <c r="B368" i="7" l="1"/>
  <c r="K420" i="7" s="1"/>
  <c r="M420" i="7" s="1"/>
  <c r="L368" i="7"/>
  <c r="N368" i="7" s="1"/>
  <c r="B367" i="7" l="1"/>
  <c r="K419" i="7" s="1"/>
  <c r="M419" i="7" s="1"/>
  <c r="L367" i="7"/>
  <c r="N367" i="7" s="1"/>
  <c r="B366" i="7" l="1"/>
  <c r="K418" i="7" s="1"/>
  <c r="M418" i="7" s="1"/>
  <c r="L366" i="7"/>
  <c r="N366" i="7" s="1"/>
  <c r="B365" i="7" l="1"/>
  <c r="K417" i="7" s="1"/>
  <c r="M417" i="7" s="1"/>
  <c r="L365" i="7"/>
  <c r="N365" i="7" s="1"/>
  <c r="B364" i="7" l="1"/>
  <c r="K416" i="7" s="1"/>
  <c r="M416" i="7" s="1"/>
  <c r="L364" i="7"/>
  <c r="N364" i="7" s="1"/>
  <c r="L363" i="7" l="1"/>
  <c r="N363" i="7" s="1"/>
  <c r="B363" i="7"/>
  <c r="K415" i="7" s="1"/>
  <c r="M415" i="7" s="1"/>
  <c r="L362" i="7"/>
  <c r="N362" i="7" s="1"/>
  <c r="B362" i="7"/>
  <c r="K414" i="7" s="1"/>
  <c r="M414" i="7" s="1"/>
  <c r="B361" i="7" l="1"/>
  <c r="L361" i="7"/>
  <c r="N361" i="7" s="1"/>
  <c r="B360" i="7"/>
  <c r="K412" i="7" s="1"/>
  <c r="M412" i="7" s="1"/>
  <c r="L360" i="7"/>
  <c r="N360" i="7" s="1"/>
  <c r="K413" i="7" l="1"/>
  <c r="M413" i="7" s="1"/>
  <c r="B359" i="7"/>
  <c r="K411" i="7" s="1"/>
  <c r="M411" i="7" s="1"/>
  <c r="L359" i="7"/>
  <c r="N359" i="7" s="1"/>
  <c r="B357" i="7" l="1"/>
  <c r="K409" i="7" s="1"/>
  <c r="M409" i="7" s="1"/>
  <c r="L357" i="7"/>
  <c r="N357" i="7" s="1"/>
  <c r="B358" i="7"/>
  <c r="K410" i="7" s="1"/>
  <c r="M410" i="7" s="1"/>
  <c r="L358" i="7"/>
  <c r="N358" i="7" s="1"/>
  <c r="B356" i="7" l="1"/>
  <c r="K408" i="7" s="1"/>
  <c r="M408" i="7" s="1"/>
  <c r="L356" i="7"/>
  <c r="N356" i="7" s="1"/>
  <c r="B355" i="7" l="1"/>
  <c r="K407" i="7" s="1"/>
  <c r="M407" i="7" s="1"/>
  <c r="L355" i="7"/>
  <c r="N355" i="7" s="1"/>
  <c r="B354" i="7" l="1"/>
  <c r="K406" i="7" s="1"/>
  <c r="M406" i="7" s="1"/>
  <c r="L354" i="7"/>
  <c r="N354" i="7" s="1"/>
  <c r="L353" i="7" l="1"/>
  <c r="N353" i="7" s="1"/>
  <c r="B353" i="7"/>
  <c r="K405" i="7" s="1"/>
  <c r="M405" i="7" s="1"/>
  <c r="B352" i="7" l="1"/>
  <c r="K404" i="7" s="1"/>
  <c r="M404" i="7" s="1"/>
  <c r="L351" i="7" l="1"/>
  <c r="N351" i="7" s="1"/>
  <c r="B351" i="7"/>
  <c r="K403" i="7" s="1"/>
  <c r="M403" i="7" s="1"/>
  <c r="B350" i="7" l="1"/>
  <c r="K402" i="7" s="1"/>
  <c r="M402" i="7" s="1"/>
  <c r="L349" i="7"/>
  <c r="N349" i="7" s="1"/>
  <c r="B349" i="7"/>
  <c r="K401" i="7" s="1"/>
  <c r="M401" i="7" s="1"/>
  <c r="L348" i="7"/>
  <c r="N348" i="7" s="1"/>
  <c r="B348" i="7"/>
  <c r="K400" i="7" s="1"/>
  <c r="M400" i="7" s="1"/>
  <c r="B347" i="7" l="1"/>
  <c r="K399" i="7" s="1"/>
  <c r="M399" i="7" s="1"/>
  <c r="B346" i="7"/>
  <c r="K398" i="7" s="1"/>
  <c r="M398" i="7" s="1"/>
  <c r="L345" i="7" l="1"/>
  <c r="N345" i="7" s="1"/>
  <c r="B345" i="7"/>
  <c r="K345" i="7" l="1"/>
  <c r="M345" i="7" s="1"/>
  <c r="K397" i="7"/>
  <c r="M397" i="7" s="1"/>
  <c r="B344" i="7"/>
  <c r="L344" i="7"/>
  <c r="K344" i="7" l="1"/>
  <c r="M344" i="7" s="1"/>
  <c r="K396" i="7"/>
  <c r="M396" i="7" s="1"/>
  <c r="B343" i="7"/>
  <c r="K395" i="7" s="1"/>
  <c r="M395" i="7" s="1"/>
  <c r="B342" i="7" l="1"/>
  <c r="K394" i="7" s="1"/>
  <c r="M394" i="7" s="1"/>
  <c r="B341" i="7" l="1"/>
  <c r="K393" i="7" s="1"/>
  <c r="M393" i="7" s="1"/>
  <c r="B340" i="7" l="1"/>
  <c r="K392" i="7" s="1"/>
  <c r="M392" i="7" s="1"/>
  <c r="L339" i="7" l="1"/>
  <c r="N339" i="7" s="1"/>
  <c r="B339" i="7"/>
  <c r="K391" i="7" s="1"/>
  <c r="M391" i="7" s="1"/>
  <c r="K339" i="7" l="1"/>
  <c r="M339" i="7" s="1"/>
  <c r="B338" i="7"/>
  <c r="K390" i="7" s="1"/>
  <c r="M390" i="7" s="1"/>
  <c r="L338" i="7" l="1"/>
  <c r="N338" i="7" s="1"/>
  <c r="K338" i="7"/>
  <c r="M338" i="7" s="1"/>
  <c r="L337" i="7"/>
  <c r="N337" i="7" s="1"/>
  <c r="L336" i="7"/>
  <c r="N336" i="7" s="1"/>
  <c r="B337" i="7"/>
  <c r="K337" i="7" l="1"/>
  <c r="M337" i="7" s="1"/>
  <c r="K389" i="7"/>
  <c r="M389" i="7" s="1"/>
  <c r="B336" i="7"/>
  <c r="K336" i="7" l="1"/>
  <c r="M336" i="7" s="1"/>
  <c r="K388" i="7"/>
  <c r="M388" i="7" s="1"/>
  <c r="B335" i="7"/>
  <c r="K387" i="7" s="1"/>
  <c r="M387" i="7" s="1"/>
  <c r="B334" i="7" l="1"/>
  <c r="K386" i="7" s="1"/>
  <c r="M386" i="7" s="1"/>
  <c r="B333" i="7" l="1"/>
  <c r="K385" i="7" s="1"/>
  <c r="M385" i="7" s="1"/>
  <c r="B332" i="7" l="1"/>
  <c r="K384" i="7" s="1"/>
  <c r="M384" i="7" s="1"/>
  <c r="B331" i="7" l="1"/>
  <c r="K383" i="7" s="1"/>
  <c r="M383" i="7" s="1"/>
  <c r="B330" i="7" l="1"/>
  <c r="K382" i="7" s="1"/>
  <c r="M382" i="7" s="1"/>
  <c r="B329" i="7" l="1"/>
  <c r="K381" i="7" s="1"/>
  <c r="M381" i="7" s="1"/>
  <c r="B328" i="7" l="1"/>
  <c r="B327" i="7" l="1"/>
  <c r="K379" i="7" s="1"/>
  <c r="M379" i="7" s="1"/>
  <c r="B326" i="7" l="1"/>
  <c r="K378" i="7" s="1"/>
  <c r="M378" i="7" s="1"/>
  <c r="B325" i="7" l="1"/>
  <c r="K377" i="7" s="1"/>
  <c r="M377" i="7" s="1"/>
  <c r="B324" i="7" l="1"/>
  <c r="K376" i="7" s="1"/>
  <c r="M376" i="7" s="1"/>
  <c r="B323" i="7" l="1"/>
  <c r="K375" i="7" s="1"/>
  <c r="M375" i="7" s="1"/>
  <c r="B322" i="7" l="1"/>
  <c r="K374" i="7" s="1"/>
  <c r="M374" i="7" s="1"/>
  <c r="B321" i="7" l="1"/>
  <c r="K373" i="7" s="1"/>
  <c r="M373" i="7" s="1"/>
  <c r="B320" i="7" l="1"/>
  <c r="K372" i="7" s="1"/>
  <c r="M372" i="7" s="1"/>
  <c r="B319" i="7" l="1"/>
  <c r="K371" i="7" s="1"/>
  <c r="M371" i="7" s="1"/>
  <c r="B318" i="7" l="1"/>
  <c r="K370" i="7" s="1"/>
  <c r="M370" i="7" s="1"/>
  <c r="B317" i="7" l="1"/>
  <c r="K369" i="7" s="1"/>
  <c r="M369" i="7" s="1"/>
  <c r="B316" i="7" l="1"/>
  <c r="K368" i="7" s="1"/>
  <c r="M368" i="7" s="1"/>
  <c r="B315" i="7" l="1"/>
  <c r="K367" i="7" s="1"/>
  <c r="M367" i="7" s="1"/>
  <c r="B314" i="7" l="1"/>
  <c r="K366" i="7" s="1"/>
  <c r="M366" i="7" s="1"/>
  <c r="B313" i="7" l="1"/>
  <c r="K365" i="7" s="1"/>
  <c r="M365" i="7" s="1"/>
  <c r="B312" i="7" l="1"/>
  <c r="K364" i="7" s="1"/>
  <c r="M364" i="7" s="1"/>
  <c r="B311" i="7" l="1"/>
  <c r="K363" i="7" s="1"/>
  <c r="M363" i="7" s="1"/>
  <c r="B310" i="7" l="1"/>
  <c r="K362" i="7" s="1"/>
  <c r="M362" i="7" s="1"/>
  <c r="B309" i="7"/>
  <c r="K361" i="7" s="1"/>
  <c r="M361" i="7" s="1"/>
  <c r="B308" i="7" l="1"/>
  <c r="K360" i="7" s="1"/>
  <c r="M360" i="7" s="1"/>
  <c r="B307" i="7" l="1"/>
  <c r="K359" i="7" s="1"/>
  <c r="M359" i="7" s="1"/>
  <c r="B306" i="7" l="1"/>
  <c r="K358" i="7" s="1"/>
  <c r="M358" i="7" s="1"/>
  <c r="B305" i="7" l="1"/>
  <c r="K357" i="7" s="1"/>
  <c r="M357" i="7" s="1"/>
  <c r="B304" i="7" l="1"/>
  <c r="K356" i="7" s="1"/>
  <c r="M356" i="7" s="1"/>
  <c r="B303" i="7" l="1"/>
  <c r="K355" i="7" s="1"/>
  <c r="M355" i="7" s="1"/>
  <c r="B302" i="7" l="1"/>
  <c r="K354" i="7" s="1"/>
  <c r="M354" i="7" s="1"/>
  <c r="B301" i="7" l="1"/>
  <c r="K353" i="7" s="1"/>
  <c r="M353" i="7" s="1"/>
  <c r="B300" i="7" l="1"/>
  <c r="K352" i="7" s="1"/>
  <c r="L300" i="7" l="1"/>
  <c r="B299" i="7"/>
  <c r="K351" i="7" s="1"/>
  <c r="M351" i="7" s="1"/>
  <c r="B295" i="7" l="1"/>
  <c r="B296" i="7"/>
  <c r="K348" i="7" s="1"/>
  <c r="M348" i="7" s="1"/>
  <c r="B297" i="7"/>
  <c r="K349" i="7" s="1"/>
  <c r="M349" i="7" s="1"/>
  <c r="B298" i="7"/>
  <c r="L294" i="7" l="1"/>
  <c r="N294" i="7" s="1"/>
  <c r="L295" i="7"/>
  <c r="N295" i="7" s="1"/>
  <c r="L296" i="7"/>
  <c r="N296" i="7" s="1"/>
  <c r="L297" i="7"/>
  <c r="N297" i="7" s="1"/>
  <c r="L298" i="7"/>
  <c r="N298" i="7" s="1"/>
  <c r="L299" i="7"/>
  <c r="N299" i="7" s="1"/>
  <c r="N300" i="7"/>
  <c r="L301" i="7"/>
  <c r="N301" i="7" s="1"/>
  <c r="L302" i="7"/>
  <c r="N302" i="7" s="1"/>
  <c r="L303" i="7"/>
  <c r="N303" i="7" s="1"/>
  <c r="L304" i="7"/>
  <c r="N304" i="7" s="1"/>
  <c r="L305" i="7"/>
  <c r="N305" i="7" s="1"/>
  <c r="L306" i="7"/>
  <c r="N306" i="7" s="1"/>
  <c r="L292" i="7" l="1"/>
  <c r="N292" i="7" s="1"/>
  <c r="B282" i="7" l="1"/>
  <c r="L282" i="7"/>
  <c r="N282" i="7" s="1"/>
  <c r="B281" i="7" l="1"/>
  <c r="L281" i="7"/>
  <c r="N281" i="7" s="1"/>
  <c r="B280" i="7" l="1"/>
  <c r="L280" i="7"/>
  <c r="N280" i="7" s="1"/>
  <c r="B279" i="7" l="1"/>
  <c r="B278" i="7" l="1"/>
  <c r="K330" i="7" s="1"/>
  <c r="M330" i="7" s="1"/>
  <c r="B277" i="7"/>
  <c r="K329" i="7" s="1"/>
  <c r="M329" i="7" s="1"/>
  <c r="B276" i="7"/>
  <c r="K328" i="7" s="1"/>
  <c r="M328" i="7" s="1"/>
  <c r="B275" i="7"/>
  <c r="K327" i="7" s="1"/>
  <c r="M327" i="7" s="1"/>
  <c r="B274" i="7"/>
  <c r="B273" i="7"/>
  <c r="K325" i="7" s="1"/>
  <c r="M325" i="7" s="1"/>
  <c r="B272" i="7"/>
  <c r="K324" i="7" s="1"/>
  <c r="M324" i="7" s="1"/>
  <c r="A271" i="7"/>
  <c r="A272" i="7" s="1"/>
  <c r="A273" i="7" s="1"/>
  <c r="A274" i="7" s="1"/>
  <c r="A275" i="7" s="1"/>
  <c r="A276" i="7" s="1"/>
  <c r="A277" i="7" s="1"/>
  <c r="A278" i="7" s="1"/>
  <c r="A279" i="7" s="1"/>
  <c r="A280" i="7" s="1"/>
  <c r="A281" i="7" s="1"/>
  <c r="A282" i="7" s="1"/>
  <c r="A283" i="7" s="1"/>
  <c r="A284" i="7" s="1"/>
  <c r="B271" i="7"/>
  <c r="K323" i="7" s="1"/>
  <c r="M323" i="7" s="1"/>
  <c r="B270" i="7"/>
  <c r="K322" i="7" s="1"/>
  <c r="M322" i="7" s="1"/>
  <c r="B269" i="7"/>
  <c r="K321" i="7" s="1"/>
  <c r="M321" i="7" s="1"/>
  <c r="K713" i="7"/>
  <c r="K712" i="7"/>
  <c r="K711" i="7"/>
  <c r="K710" i="7"/>
  <c r="K709" i="7"/>
  <c r="K708" i="7"/>
  <c r="K707" i="7"/>
  <c r="K706" i="7"/>
  <c r="K705" i="7"/>
  <c r="K704" i="7"/>
  <c r="K703" i="7"/>
  <c r="K702" i="7"/>
  <c r="K701" i="7"/>
  <c r="K700" i="7"/>
  <c r="K699" i="7"/>
  <c r="K698" i="7"/>
  <c r="K697" i="7"/>
  <c r="K696" i="7"/>
  <c r="K695" i="7"/>
  <c r="K694" i="7"/>
  <c r="K693" i="7"/>
  <c r="K692" i="7"/>
  <c r="K691" i="7"/>
  <c r="K690" i="7"/>
  <c r="K689" i="7"/>
  <c r="K688" i="7"/>
  <c r="K687" i="7"/>
  <c r="K686" i="7"/>
  <c r="K685" i="7"/>
  <c r="K684" i="7"/>
  <c r="K683" i="7"/>
  <c r="K682" i="7"/>
  <c r="K681" i="7"/>
  <c r="K680" i="7"/>
  <c r="K679" i="7"/>
  <c r="K678" i="7"/>
  <c r="K677" i="7"/>
  <c r="K676" i="7"/>
  <c r="K675" i="7"/>
  <c r="K674" i="7"/>
  <c r="K673" i="7"/>
  <c r="K672" i="7"/>
  <c r="K671" i="7"/>
  <c r="K670" i="7"/>
  <c r="K669" i="7"/>
  <c r="K668" i="7"/>
  <c r="K667" i="7"/>
  <c r="K666" i="7"/>
  <c r="K665" i="7"/>
  <c r="K664" i="7"/>
  <c r="K663" i="7"/>
  <c r="K662" i="7"/>
  <c r="K661" i="7"/>
  <c r="K660" i="7"/>
  <c r="K659" i="7"/>
  <c r="K658" i="7"/>
  <c r="K657" i="7"/>
  <c r="K656" i="7"/>
  <c r="K655" i="7"/>
  <c r="K654" i="7"/>
  <c r="K653" i="7"/>
  <c r="K652" i="7"/>
  <c r="K651" i="7"/>
  <c r="K650" i="7"/>
  <c r="K649" i="7"/>
  <c r="K648" i="7"/>
  <c r="K647" i="7"/>
  <c r="K646" i="7"/>
  <c r="K645" i="7"/>
  <c r="K644" i="7"/>
  <c r="K643" i="7"/>
  <c r="K642" i="7"/>
  <c r="K641" i="7"/>
  <c r="K640" i="7"/>
  <c r="K639" i="7"/>
  <c r="K638" i="7"/>
  <c r="K637" i="7"/>
  <c r="K636" i="7"/>
  <c r="K635" i="7"/>
  <c r="K634" i="7"/>
  <c r="K633" i="7"/>
  <c r="K632" i="7"/>
  <c r="K631" i="7"/>
  <c r="K630" i="7"/>
  <c r="K629" i="7"/>
  <c r="K628" i="7"/>
  <c r="K627" i="7"/>
  <c r="K626" i="7"/>
  <c r="K625" i="7"/>
  <c r="K624" i="7"/>
  <c r="K623" i="7"/>
  <c r="K622" i="7"/>
  <c r="K621" i="7"/>
  <c r="K620" i="7"/>
  <c r="K619" i="7"/>
  <c r="K618" i="7"/>
  <c r="N380" i="7"/>
  <c r="K380" i="7"/>
  <c r="M380" i="7" s="1"/>
  <c r="L352" i="7"/>
  <c r="N352" i="7" s="1"/>
  <c r="M352" i="7"/>
  <c r="L350" i="7"/>
  <c r="N350" i="7" s="1"/>
  <c r="K350" i="7"/>
  <c r="M350" i="7" s="1"/>
  <c r="L347" i="7"/>
  <c r="N347" i="7" s="1"/>
  <c r="K347" i="7"/>
  <c r="M347" i="7" s="1"/>
  <c r="L346" i="7"/>
  <c r="N346" i="7" s="1"/>
  <c r="K346" i="7"/>
  <c r="M346" i="7" s="1"/>
  <c r="N344" i="7"/>
  <c r="L343" i="7"/>
  <c r="N343" i="7" s="1"/>
  <c r="K343" i="7"/>
  <c r="M343" i="7" s="1"/>
  <c r="L342" i="7"/>
  <c r="N342" i="7" s="1"/>
  <c r="K342" i="7"/>
  <c r="M342" i="7" s="1"/>
  <c r="L341" i="7"/>
  <c r="N341" i="7" s="1"/>
  <c r="K341" i="7"/>
  <c r="M341" i="7" s="1"/>
  <c r="L340" i="7"/>
  <c r="N340" i="7" s="1"/>
  <c r="K340" i="7"/>
  <c r="M340" i="7" s="1"/>
  <c r="L335" i="7"/>
  <c r="N335" i="7" s="1"/>
  <c r="K335" i="7"/>
  <c r="M335" i="7" s="1"/>
  <c r="L334" i="7"/>
  <c r="N334" i="7" s="1"/>
  <c r="K334" i="7"/>
  <c r="M334" i="7" s="1"/>
  <c r="L333" i="7"/>
  <c r="N333" i="7" s="1"/>
  <c r="K333" i="7"/>
  <c r="M333" i="7" s="1"/>
  <c r="L332" i="7"/>
  <c r="N332" i="7" s="1"/>
  <c r="K332" i="7"/>
  <c r="M332" i="7" s="1"/>
  <c r="L331" i="7"/>
  <c r="N331" i="7" s="1"/>
  <c r="K331" i="7"/>
  <c r="M331" i="7" s="1"/>
  <c r="L330" i="7"/>
  <c r="N330" i="7" s="1"/>
  <c r="L329" i="7"/>
  <c r="N329" i="7" s="1"/>
  <c r="L328" i="7"/>
  <c r="N328" i="7" s="1"/>
  <c r="L327" i="7"/>
  <c r="N327" i="7" s="1"/>
  <c r="L326" i="7"/>
  <c r="N326" i="7" s="1"/>
  <c r="K326" i="7"/>
  <c r="M326" i="7" s="1"/>
  <c r="L325" i="7"/>
  <c r="N325" i="7" s="1"/>
  <c r="L324" i="7"/>
  <c r="N324" i="7" s="1"/>
  <c r="L323" i="7"/>
  <c r="N323" i="7" s="1"/>
  <c r="L322" i="7"/>
  <c r="N322" i="7" s="1"/>
  <c r="L321" i="7"/>
  <c r="N321" i="7" s="1"/>
  <c r="L320" i="7"/>
  <c r="N320" i="7" s="1"/>
  <c r="L319" i="7"/>
  <c r="N319" i="7" s="1"/>
  <c r="L318" i="7"/>
  <c r="N318" i="7" s="1"/>
  <c r="L317" i="7"/>
  <c r="N317" i="7" s="1"/>
  <c r="L316" i="7"/>
  <c r="N316" i="7" s="1"/>
  <c r="L315" i="7"/>
  <c r="N315" i="7" s="1"/>
  <c r="L314" i="7"/>
  <c r="N314" i="7" s="1"/>
  <c r="L313" i="7"/>
  <c r="N313" i="7" s="1"/>
  <c r="L312" i="7"/>
  <c r="N312" i="7" s="1"/>
  <c r="L311" i="7"/>
  <c r="N311" i="7" s="1"/>
  <c r="L310" i="7"/>
  <c r="N310" i="7" s="1"/>
  <c r="L309" i="7"/>
  <c r="N309" i="7" s="1"/>
  <c r="L308" i="7"/>
  <c r="N308" i="7" s="1"/>
  <c r="L307" i="7"/>
  <c r="N307" i="7" s="1"/>
  <c r="L291" i="7"/>
  <c r="N291" i="7" s="1"/>
  <c r="L279" i="7"/>
  <c r="N279" i="7" s="1"/>
  <c r="L278" i="7"/>
  <c r="N278" i="7" s="1"/>
  <c r="L277" i="7"/>
  <c r="N277" i="7" s="1"/>
  <c r="L276" i="7"/>
  <c r="N276" i="7" s="1"/>
  <c r="L275" i="7"/>
  <c r="N275" i="7" s="1"/>
  <c r="L274" i="7"/>
  <c r="N274" i="7" s="1"/>
  <c r="L273" i="7"/>
  <c r="N273" i="7" s="1"/>
  <c r="L272" i="7"/>
  <c r="N272" i="7" s="1"/>
  <c r="L271" i="7"/>
  <c r="N271" i="7" s="1"/>
  <c r="L270" i="7"/>
  <c r="N270" i="7" s="1"/>
  <c r="L269" i="7"/>
  <c r="N269" i="7" s="1"/>
  <c r="L268" i="7"/>
  <c r="N268" i="7" s="1"/>
  <c r="B268" i="7"/>
  <c r="K320" i="7" s="1"/>
  <c r="M320" i="7" s="1"/>
  <c r="B267" i="7"/>
  <c r="K319" i="7" s="1"/>
  <c r="M319" i="7" s="1"/>
  <c r="B250" i="7"/>
  <c r="K302" i="7" s="1"/>
  <c r="M302" i="7" s="1"/>
  <c r="L267" i="7"/>
  <c r="N267" i="7" s="1"/>
  <c r="L266" i="7"/>
  <c r="N266" i="7" s="1"/>
  <c r="L265" i="7"/>
  <c r="N265" i="7" s="1"/>
  <c r="L264" i="7"/>
  <c r="N264" i="7" s="1"/>
  <c r="L263" i="7"/>
  <c r="N263" i="7" s="1"/>
  <c r="L262" i="7"/>
  <c r="N262" i="7" s="1"/>
  <c r="L261" i="7"/>
  <c r="N261" i="7" s="1"/>
  <c r="L260" i="7"/>
  <c r="N260" i="7" s="1"/>
  <c r="L259" i="7"/>
  <c r="N259" i="7" s="1"/>
  <c r="L258" i="7"/>
  <c r="N258" i="7" s="1"/>
  <c r="L257" i="7"/>
  <c r="N257" i="7" s="1"/>
  <c r="L256" i="7"/>
  <c r="N256" i="7" s="1"/>
  <c r="L255" i="7"/>
  <c r="N255" i="7" s="1"/>
  <c r="L254" i="7"/>
  <c r="N254" i="7" s="1"/>
  <c r="L253" i="7"/>
  <c r="N253" i="7" s="1"/>
  <c r="L252" i="7"/>
  <c r="N252" i="7" s="1"/>
  <c r="L251" i="7"/>
  <c r="N251" i="7" s="1"/>
  <c r="L250" i="7"/>
  <c r="N250" i="7" s="1"/>
  <c r="L249" i="7"/>
  <c r="N249" i="7" s="1"/>
  <c r="L248" i="7"/>
  <c r="N248" i="7" s="1"/>
  <c r="L247" i="7"/>
  <c r="N247" i="7" s="1"/>
  <c r="L246" i="7"/>
  <c r="N246" i="7" s="1"/>
  <c r="L245" i="7"/>
  <c r="N245" i="7" s="1"/>
  <c r="L244" i="7"/>
  <c r="N244" i="7" s="1"/>
  <c r="L243" i="7"/>
  <c r="N243" i="7" s="1"/>
  <c r="L242" i="7"/>
  <c r="N242" i="7" s="1"/>
  <c r="L241" i="7"/>
  <c r="N241" i="7" s="1"/>
  <c r="L240" i="7"/>
  <c r="N240" i="7" s="1"/>
  <c r="L239" i="7"/>
  <c r="N239" i="7" s="1"/>
  <c r="L238" i="7"/>
  <c r="N238" i="7" s="1"/>
  <c r="L237" i="7"/>
  <c r="N237" i="7" s="1"/>
  <c r="L236" i="7"/>
  <c r="N236" i="7" s="1"/>
  <c r="L235" i="7"/>
  <c r="N235" i="7" s="1"/>
  <c r="L234" i="7"/>
  <c r="N234" i="7" s="1"/>
  <c r="L233" i="7"/>
  <c r="N233" i="7" s="1"/>
  <c r="L232" i="7"/>
  <c r="N232" i="7" s="1"/>
  <c r="L231" i="7"/>
  <c r="N231" i="7" s="1"/>
  <c r="L230" i="7"/>
  <c r="N230" i="7" s="1"/>
  <c r="L229" i="7"/>
  <c r="N229" i="7" s="1"/>
  <c r="L228" i="7"/>
  <c r="N228" i="7" s="1"/>
  <c r="L227" i="7"/>
  <c r="N227" i="7" s="1"/>
  <c r="L226" i="7"/>
  <c r="N226" i="7" s="1"/>
  <c r="L225" i="7"/>
  <c r="N225" i="7" s="1"/>
  <c r="L224" i="7"/>
  <c r="N224" i="7" s="1"/>
  <c r="L223" i="7"/>
  <c r="N223" i="7" s="1"/>
  <c r="L222" i="7"/>
  <c r="N222" i="7" s="1"/>
  <c r="L221" i="7"/>
  <c r="N221" i="7" s="1"/>
  <c r="L220" i="7"/>
  <c r="N220" i="7" s="1"/>
  <c r="L219" i="7"/>
  <c r="N219" i="7" s="1"/>
  <c r="L218" i="7"/>
  <c r="N218" i="7" s="1"/>
  <c r="L217" i="7"/>
  <c r="N217" i="7" s="1"/>
  <c r="L216" i="7"/>
  <c r="N216" i="7" s="1"/>
  <c r="L215" i="7"/>
  <c r="N215" i="7" s="1"/>
  <c r="L214" i="7"/>
  <c r="N214" i="7" s="1"/>
  <c r="L213" i="7"/>
  <c r="N213" i="7" s="1"/>
  <c r="L212" i="7"/>
  <c r="N212" i="7" s="1"/>
  <c r="L211" i="7"/>
  <c r="N211" i="7" s="1"/>
  <c r="L210" i="7"/>
  <c r="N210" i="7" s="1"/>
  <c r="L209" i="7"/>
  <c r="N209" i="7" s="1"/>
  <c r="L208" i="7"/>
  <c r="N208" i="7" s="1"/>
  <c r="L207" i="7"/>
  <c r="N207" i="7" s="1"/>
  <c r="L206" i="7"/>
  <c r="N206" i="7" s="1"/>
  <c r="L205" i="7"/>
  <c r="N205" i="7" s="1"/>
  <c r="L204" i="7"/>
  <c r="N204" i="7" s="1"/>
  <c r="L203" i="7"/>
  <c r="N203" i="7" s="1"/>
  <c r="L202" i="7"/>
  <c r="N202" i="7" s="1"/>
  <c r="L201" i="7"/>
  <c r="N201" i="7" s="1"/>
  <c r="L200" i="7"/>
  <c r="N200" i="7" s="1"/>
  <c r="L199" i="7"/>
  <c r="N199" i="7" s="1"/>
  <c r="L198" i="7"/>
  <c r="N198" i="7" s="1"/>
  <c r="L197" i="7"/>
  <c r="N197" i="7" s="1"/>
  <c r="L196" i="7"/>
  <c r="N196" i="7" s="1"/>
  <c r="L195" i="7"/>
  <c r="N195" i="7" s="1"/>
  <c r="L194" i="7"/>
  <c r="N194" i="7" s="1"/>
  <c r="L193" i="7"/>
  <c r="N193" i="7" s="1"/>
  <c r="L192" i="7"/>
  <c r="N192" i="7" s="1"/>
  <c r="L191" i="7"/>
  <c r="N191" i="7" s="1"/>
  <c r="L190" i="7"/>
  <c r="N190" i="7" s="1"/>
  <c r="L189" i="7"/>
  <c r="N189" i="7" s="1"/>
  <c r="L188" i="7"/>
  <c r="N188" i="7" s="1"/>
  <c r="L187" i="7"/>
  <c r="N187" i="7" s="1"/>
  <c r="L186" i="7"/>
  <c r="N186" i="7" s="1"/>
  <c r="L185" i="7"/>
  <c r="N185" i="7" s="1"/>
  <c r="L184" i="7"/>
  <c r="N184" i="7" s="1"/>
  <c r="L183" i="7"/>
  <c r="N183" i="7" s="1"/>
  <c r="L182" i="7"/>
  <c r="N182" i="7" s="1"/>
  <c r="L181" i="7"/>
  <c r="N181" i="7" s="1"/>
  <c r="L180" i="7"/>
  <c r="N180" i="7" s="1"/>
  <c r="L179" i="7"/>
  <c r="N179" i="7" s="1"/>
  <c r="L178" i="7"/>
  <c r="N178" i="7" s="1"/>
  <c r="L177" i="7"/>
  <c r="N177" i="7" s="1"/>
  <c r="L176" i="7"/>
  <c r="N176" i="7" s="1"/>
  <c r="L175" i="7"/>
  <c r="N175" i="7" s="1"/>
  <c r="L174" i="7"/>
  <c r="N174" i="7" s="1"/>
  <c r="L173" i="7"/>
  <c r="N173" i="7" s="1"/>
  <c r="L172" i="7"/>
  <c r="N172" i="7" s="1"/>
  <c r="L171" i="7"/>
  <c r="N171" i="7" s="1"/>
  <c r="L170" i="7"/>
  <c r="N170" i="7" s="1"/>
  <c r="L169" i="7"/>
  <c r="N169" i="7" s="1"/>
  <c r="L168" i="7"/>
  <c r="N168" i="7" s="1"/>
  <c r="L167" i="7"/>
  <c r="N167" i="7" s="1"/>
  <c r="L166" i="7"/>
  <c r="N166" i="7" s="1"/>
  <c r="L165" i="7"/>
  <c r="N165" i="7" s="1"/>
  <c r="L164" i="7"/>
  <c r="N164" i="7" s="1"/>
  <c r="L163" i="7"/>
  <c r="N163" i="7" s="1"/>
  <c r="L162" i="7"/>
  <c r="N162" i="7" s="1"/>
  <c r="L161" i="7"/>
  <c r="N161" i="7" s="1"/>
  <c r="L160" i="7"/>
  <c r="N160" i="7" s="1"/>
  <c r="L159" i="7"/>
  <c r="N159" i="7" s="1"/>
  <c r="L158" i="7"/>
  <c r="N158" i="7" s="1"/>
  <c r="L157" i="7"/>
  <c r="N157" i="7" s="1"/>
  <c r="L156" i="7"/>
  <c r="N156" i="7" s="1"/>
  <c r="L155" i="7"/>
  <c r="N155" i="7" s="1"/>
  <c r="L154" i="7"/>
  <c r="N154" i="7" s="1"/>
  <c r="L153" i="7"/>
  <c r="N153" i="7" s="1"/>
  <c r="L152" i="7"/>
  <c r="N152" i="7" s="1"/>
  <c r="L151" i="7"/>
  <c r="N151" i="7" s="1"/>
  <c r="L150" i="7"/>
  <c r="N150" i="7" s="1"/>
  <c r="L149" i="7"/>
  <c r="N149" i="7" s="1"/>
  <c r="L148" i="7"/>
  <c r="N148" i="7" s="1"/>
  <c r="L147" i="7"/>
  <c r="N147" i="7" s="1"/>
  <c r="L146" i="7"/>
  <c r="N146" i="7" s="1"/>
  <c r="L145" i="7"/>
  <c r="N145" i="7" s="1"/>
  <c r="L144" i="7"/>
  <c r="N144" i="7" s="1"/>
  <c r="L143" i="7"/>
  <c r="N143" i="7" s="1"/>
  <c r="L142" i="7"/>
  <c r="N142" i="7" s="1"/>
  <c r="L141" i="7"/>
  <c r="N141" i="7" s="1"/>
  <c r="L140" i="7"/>
  <c r="N140" i="7" s="1"/>
  <c r="L139" i="7"/>
  <c r="N139" i="7" s="1"/>
  <c r="L138" i="7"/>
  <c r="N138" i="7" s="1"/>
  <c r="L137" i="7"/>
  <c r="N137" i="7" s="1"/>
  <c r="L136" i="7"/>
  <c r="N136" i="7" s="1"/>
  <c r="L135" i="7"/>
  <c r="N135" i="7" s="1"/>
  <c r="L134" i="7"/>
  <c r="N134" i="7" s="1"/>
  <c r="L133" i="7"/>
  <c r="N133" i="7" s="1"/>
  <c r="L132" i="7"/>
  <c r="N132" i="7" s="1"/>
  <c r="L131" i="7"/>
  <c r="N131" i="7" s="1"/>
  <c r="L130" i="7"/>
  <c r="N130" i="7" s="1"/>
  <c r="L129" i="7"/>
  <c r="N129" i="7" s="1"/>
  <c r="L128" i="7"/>
  <c r="N128" i="7" s="1"/>
  <c r="L127" i="7"/>
  <c r="N127" i="7" s="1"/>
  <c r="L126" i="7"/>
  <c r="N126" i="7" s="1"/>
  <c r="L125" i="7"/>
  <c r="N125" i="7" s="1"/>
  <c r="L124" i="7"/>
  <c r="N124" i="7" s="1"/>
  <c r="L123" i="7"/>
  <c r="N123" i="7" s="1"/>
  <c r="L122" i="7"/>
  <c r="N122" i="7" s="1"/>
  <c r="L121" i="7"/>
  <c r="N121" i="7" s="1"/>
  <c r="L120" i="7"/>
  <c r="N120" i="7" s="1"/>
  <c r="L119" i="7"/>
  <c r="N119" i="7" s="1"/>
  <c r="L118" i="7"/>
  <c r="N118" i="7" s="1"/>
  <c r="L117" i="7"/>
  <c r="N117" i="7" s="1"/>
  <c r="L116" i="7"/>
  <c r="N116" i="7" s="1"/>
  <c r="L115" i="7"/>
  <c r="N115" i="7" s="1"/>
  <c r="L114" i="7"/>
  <c r="N114" i="7" s="1"/>
  <c r="L113" i="7"/>
  <c r="N113" i="7" s="1"/>
  <c r="L112" i="7"/>
  <c r="N112" i="7" s="1"/>
  <c r="L111" i="7"/>
  <c r="N111" i="7" s="1"/>
  <c r="L110" i="7"/>
  <c r="N110" i="7" s="1"/>
  <c r="L109" i="7"/>
  <c r="N109" i="7" s="1"/>
  <c r="L108" i="7"/>
  <c r="N108" i="7" s="1"/>
  <c r="L107" i="7"/>
  <c r="N107" i="7" s="1"/>
  <c r="L106" i="7"/>
  <c r="N106" i="7" s="1"/>
  <c r="L105" i="7"/>
  <c r="N105" i="7" s="1"/>
  <c r="L104" i="7"/>
  <c r="N104" i="7" s="1"/>
  <c r="L103" i="7"/>
  <c r="N103" i="7" s="1"/>
  <c r="L102" i="7"/>
  <c r="N102" i="7" s="1"/>
  <c r="L101" i="7"/>
  <c r="N101" i="7" s="1"/>
  <c r="L100" i="7"/>
  <c r="N100" i="7" s="1"/>
  <c r="L99" i="7"/>
  <c r="N99" i="7" s="1"/>
  <c r="L98" i="7"/>
  <c r="N98" i="7" s="1"/>
  <c r="L97" i="7"/>
  <c r="N97" i="7" s="1"/>
  <c r="L96" i="7"/>
  <c r="N96" i="7" s="1"/>
  <c r="L95" i="7"/>
  <c r="N95" i="7" s="1"/>
  <c r="L94" i="7"/>
  <c r="N94" i="7" s="1"/>
  <c r="L93" i="7"/>
  <c r="N93" i="7" s="1"/>
  <c r="L92" i="7"/>
  <c r="N92" i="7" s="1"/>
  <c r="L91" i="7"/>
  <c r="N91" i="7" s="1"/>
  <c r="L90" i="7"/>
  <c r="N90" i="7" s="1"/>
  <c r="L89" i="7"/>
  <c r="N89" i="7" s="1"/>
  <c r="L88" i="7"/>
  <c r="N88" i="7" s="1"/>
  <c r="L87" i="7"/>
  <c r="N87" i="7" s="1"/>
  <c r="L86" i="7"/>
  <c r="N86" i="7" s="1"/>
  <c r="L85" i="7"/>
  <c r="N85" i="7" s="1"/>
  <c r="L84" i="7"/>
  <c r="N84" i="7" s="1"/>
  <c r="L83" i="7"/>
  <c r="N83" i="7" s="1"/>
  <c r="L82" i="7"/>
  <c r="N82" i="7" s="1"/>
  <c r="L81" i="7"/>
  <c r="N81" i="7" s="1"/>
  <c r="L80" i="7"/>
  <c r="N80" i="7" s="1"/>
  <c r="L79" i="7"/>
  <c r="N79" i="7" s="1"/>
  <c r="L78" i="7"/>
  <c r="N78" i="7" s="1"/>
  <c r="L77" i="7"/>
  <c r="N77" i="7" s="1"/>
  <c r="L76" i="7"/>
  <c r="N76" i="7" s="1"/>
  <c r="L75" i="7"/>
  <c r="N75" i="7" s="1"/>
  <c r="L74" i="7"/>
  <c r="N74" i="7" s="1"/>
  <c r="L73" i="7"/>
  <c r="N73" i="7" s="1"/>
  <c r="L72" i="7"/>
  <c r="N72" i="7" s="1"/>
  <c r="L71" i="7"/>
  <c r="N71" i="7" s="1"/>
  <c r="L70" i="7"/>
  <c r="N70" i="7" s="1"/>
  <c r="L69" i="7"/>
  <c r="N69" i="7" s="1"/>
  <c r="L68" i="7"/>
  <c r="N68" i="7" s="1"/>
  <c r="L67" i="7"/>
  <c r="N67" i="7" s="1"/>
  <c r="L66" i="7"/>
  <c r="N66" i="7" s="1"/>
  <c r="L65" i="7"/>
  <c r="N65" i="7" s="1"/>
  <c r="L64" i="7"/>
  <c r="N64" i="7" s="1"/>
  <c r="L63" i="7"/>
  <c r="N63" i="7" s="1"/>
  <c r="L62" i="7"/>
  <c r="N62" i="7" s="1"/>
  <c r="L61" i="7"/>
  <c r="N61" i="7" s="1"/>
  <c r="L60" i="7"/>
  <c r="N60" i="7" s="1"/>
  <c r="L59" i="7"/>
  <c r="N59" i="7" s="1"/>
  <c r="L58" i="7"/>
  <c r="N58" i="7" s="1"/>
  <c r="L57" i="7"/>
  <c r="N57" i="7" s="1"/>
  <c r="L56" i="7"/>
  <c r="N56" i="7" s="1"/>
  <c r="B266" i="7"/>
  <c r="K318" i="7" s="1"/>
  <c r="M318" i="7" s="1"/>
  <c r="B265" i="7"/>
  <c r="K317" i="7" s="1"/>
  <c r="M317" i="7" s="1"/>
  <c r="B264" i="7"/>
  <c r="K316" i="7" s="1"/>
  <c r="M316" i="7" s="1"/>
  <c r="B263" i="7"/>
  <c r="K315" i="7" s="1"/>
  <c r="M315" i="7" s="1"/>
  <c r="B262" i="7"/>
  <c r="K314" i="7" s="1"/>
  <c r="M314" i="7" s="1"/>
  <c r="B261" i="7"/>
  <c r="K313" i="7" s="1"/>
  <c r="M313" i="7" s="1"/>
  <c r="B260" i="7"/>
  <c r="K312" i="7" s="1"/>
  <c r="M312" i="7" s="1"/>
  <c r="B259" i="7"/>
  <c r="K311" i="7" s="1"/>
  <c r="M311" i="7" s="1"/>
  <c r="B258" i="7"/>
  <c r="K310" i="7" s="1"/>
  <c r="M310" i="7" s="1"/>
  <c r="B257" i="7"/>
  <c r="K309" i="7" s="1"/>
  <c r="M309" i="7" s="1"/>
  <c r="B256" i="7"/>
  <c r="K308" i="7" s="1"/>
  <c r="M308" i="7" s="1"/>
  <c r="B255" i="7"/>
  <c r="K307" i="7" s="1"/>
  <c r="M307" i="7" s="1"/>
  <c r="B254" i="7"/>
  <c r="K306" i="7" s="1"/>
  <c r="M306" i="7" s="1"/>
  <c r="B253" i="7"/>
  <c r="K305" i="7" s="1"/>
  <c r="M305" i="7" s="1"/>
  <c r="B252" i="7"/>
  <c r="K304" i="7" s="1"/>
  <c r="M304" i="7" s="1"/>
  <c r="B251" i="7"/>
  <c r="K303" i="7" s="1"/>
  <c r="M303" i="7" s="1"/>
  <c r="B249" i="7"/>
  <c r="K301" i="7" s="1"/>
  <c r="M301" i="7" s="1"/>
  <c r="B248" i="7"/>
  <c r="K300" i="7" s="1"/>
  <c r="M300" i="7" s="1"/>
  <c r="B247" i="7"/>
  <c r="K299" i="7" s="1"/>
  <c r="M299" i="7" s="1"/>
  <c r="B246" i="7"/>
  <c r="B245" i="7"/>
  <c r="B244" i="7"/>
  <c r="B243" i="7"/>
  <c r="B242" i="7"/>
  <c r="B241" i="7"/>
  <c r="B240" i="7"/>
  <c r="B239" i="7"/>
  <c r="B238" i="7"/>
  <c r="B237" i="7"/>
  <c r="B236" i="7"/>
  <c r="B235" i="7"/>
  <c r="B234" i="7"/>
  <c r="B233" i="7"/>
  <c r="B232" i="7"/>
  <c r="B231" i="7"/>
  <c r="B230" i="7"/>
  <c r="B229" i="7"/>
  <c r="B228" i="7"/>
  <c r="B227" i="7"/>
  <c r="B226" i="7"/>
  <c r="B225" i="7"/>
  <c r="B224" i="7"/>
  <c r="B223" i="7"/>
  <c r="B222" i="7"/>
  <c r="B221" i="7"/>
  <c r="B220" i="7"/>
  <c r="B219" i="7"/>
  <c r="B218" i="7"/>
  <c r="B217" i="7"/>
  <c r="B216" i="7"/>
  <c r="B215" i="7"/>
  <c r="B214" i="7"/>
  <c r="B213" i="7"/>
  <c r="B212" i="7"/>
  <c r="B211" i="7"/>
  <c r="B210" i="7"/>
  <c r="B209" i="7"/>
  <c r="B208" i="7"/>
  <c r="B207" i="7"/>
  <c r="B206" i="7"/>
  <c r="B205" i="7"/>
  <c r="B204" i="7"/>
  <c r="B203" i="7"/>
  <c r="B202" i="7"/>
  <c r="B201" i="7"/>
  <c r="B200" i="7"/>
  <c r="B199" i="7"/>
  <c r="B198" i="7"/>
  <c r="B197" i="7"/>
  <c r="B196" i="7"/>
  <c r="B195" i="7"/>
  <c r="B194" i="7"/>
  <c r="B193" i="7"/>
  <c r="B192" i="7"/>
  <c r="B191" i="7"/>
  <c r="B190" i="7"/>
  <c r="B189" i="7"/>
  <c r="B188" i="7"/>
  <c r="B187" i="7"/>
  <c r="B186" i="7"/>
  <c r="B185" i="7"/>
  <c r="B184" i="7"/>
  <c r="B183" i="7"/>
  <c r="B182" i="7"/>
  <c r="B181" i="7"/>
  <c r="B180" i="7"/>
  <c r="B179" i="7"/>
  <c r="B178" i="7"/>
  <c r="B177" i="7"/>
  <c r="B176" i="7"/>
  <c r="B175" i="7"/>
  <c r="B174" i="7"/>
  <c r="B173" i="7"/>
  <c r="B172" i="7"/>
  <c r="B171" i="7"/>
  <c r="B170" i="7"/>
  <c r="B169" i="7"/>
  <c r="B168" i="7"/>
  <c r="B167" i="7"/>
  <c r="B166" i="7"/>
  <c r="B165" i="7"/>
  <c r="B164" i="7"/>
  <c r="B163" i="7"/>
  <c r="B162" i="7"/>
  <c r="B161" i="7"/>
  <c r="B160" i="7"/>
  <c r="B159" i="7"/>
  <c r="B158" i="7"/>
  <c r="B157" i="7"/>
  <c r="B156" i="7"/>
  <c r="B155" i="7"/>
  <c r="B154" i="7"/>
  <c r="B153" i="7"/>
  <c r="B152" i="7"/>
  <c r="B151" i="7"/>
  <c r="B150" i="7"/>
  <c r="B149" i="7"/>
  <c r="B148" i="7"/>
  <c r="B147" i="7"/>
  <c r="B146" i="7"/>
  <c r="B145" i="7"/>
  <c r="B144" i="7"/>
  <c r="B143" i="7"/>
  <c r="B142" i="7"/>
  <c r="B141" i="7"/>
  <c r="B140" i="7"/>
  <c r="B139" i="7"/>
  <c r="B138" i="7"/>
  <c r="B137" i="7"/>
  <c r="B136" i="7"/>
  <c r="B135" i="7"/>
  <c r="B134" i="7"/>
  <c r="B133" i="7"/>
  <c r="B132" i="7"/>
  <c r="B131" i="7"/>
  <c r="B130" i="7"/>
  <c r="B129" i="7"/>
  <c r="B128" i="7"/>
  <c r="B127" i="7"/>
  <c r="B126" i="7"/>
  <c r="B125" i="7"/>
  <c r="B124" i="7"/>
  <c r="B123" i="7"/>
  <c r="B122" i="7"/>
  <c r="B121" i="7"/>
  <c r="B120" i="7"/>
  <c r="B119" i="7"/>
  <c r="B118" i="7"/>
  <c r="B117" i="7"/>
  <c r="B116" i="7"/>
  <c r="B115" i="7"/>
  <c r="B114" i="7"/>
  <c r="B113" i="7"/>
  <c r="B112" i="7"/>
  <c r="B111" i="7"/>
  <c r="B110" i="7"/>
  <c r="B109" i="7"/>
  <c r="B108" i="7"/>
  <c r="B107" i="7"/>
  <c r="B106" i="7"/>
  <c r="B105" i="7"/>
  <c r="B104" i="7"/>
  <c r="B103" i="7"/>
  <c r="B102" i="7"/>
  <c r="B101" i="7"/>
  <c r="B100" i="7"/>
  <c r="B99" i="7"/>
  <c r="B98" i="7"/>
  <c r="B97" i="7"/>
  <c r="A5" i="7"/>
  <c r="A6" i="7" s="1"/>
  <c r="A7" i="7" s="1"/>
  <c r="A8" i="7" s="1"/>
  <c r="A9" i="7" s="1"/>
  <c r="A10" i="7" s="1"/>
  <c r="A11" i="7" s="1"/>
  <c r="A12" i="7" s="1"/>
  <c r="A13" i="7" s="1"/>
  <c r="A14" i="7" s="1"/>
  <c r="A15" i="7" s="1"/>
  <c r="A16" i="7" s="1"/>
  <c r="A17" i="7" s="1"/>
  <c r="A18" i="7" s="1"/>
  <c r="A19" i="7" s="1"/>
  <c r="A20" i="7" s="1"/>
  <c r="A21" i="7" s="1"/>
  <c r="A22" i="7" s="1"/>
  <c r="A23" i="7" s="1"/>
  <c r="A24" i="7" s="1"/>
  <c r="A25" i="7" s="1"/>
  <c r="A26" i="7" s="1"/>
  <c r="A27" i="7" s="1"/>
  <c r="A28" i="7" s="1"/>
  <c r="A29" i="7" s="1"/>
  <c r="A30" i="7" s="1"/>
  <c r="A31" i="7" s="1"/>
  <c r="A32" i="7" s="1"/>
  <c r="A33" i="7" s="1"/>
  <c r="A34" i="7" s="1"/>
  <c r="A35" i="7" s="1"/>
  <c r="A36" i="7" s="1"/>
  <c r="A37" i="7" s="1"/>
  <c r="A38" i="7" s="1"/>
  <c r="A39" i="7" s="1"/>
  <c r="A40" i="7" s="1"/>
  <c r="A41" i="7" s="1"/>
  <c r="A42" i="7" s="1"/>
  <c r="A43" i="7" s="1"/>
  <c r="A44" i="7" s="1"/>
  <c r="A45" i="7" s="1"/>
  <c r="A46" i="7" s="1"/>
  <c r="A47" i="7" s="1"/>
  <c r="A48" i="7" s="1"/>
  <c r="A49" i="7" s="1"/>
  <c r="A50" i="7" s="1"/>
  <c r="A51" i="7" s="1"/>
  <c r="A52" i="7" s="1"/>
  <c r="A53" i="7" s="1"/>
  <c r="A54" i="7" s="1"/>
  <c r="A55" i="7" s="1"/>
  <c r="A56" i="7" s="1"/>
  <c r="A57" i="7" s="1"/>
  <c r="A58" i="7" s="1"/>
  <c r="A59" i="7" s="1"/>
  <c r="A60" i="7" s="1"/>
  <c r="A61" i="7" s="1"/>
  <c r="A62" i="7" s="1"/>
  <c r="A63" i="7" s="1"/>
  <c r="A64" i="7" s="1"/>
  <c r="A65" i="7" s="1"/>
  <c r="A66" i="7" s="1"/>
  <c r="A67" i="7" s="1"/>
  <c r="A68" i="7" s="1"/>
  <c r="A69" i="7" s="1"/>
  <c r="A70" i="7" s="1"/>
  <c r="A71" i="7" s="1"/>
  <c r="A72" i="7" s="1"/>
  <c r="A73" i="7" s="1"/>
  <c r="A74" i="7" s="1"/>
  <c r="A75" i="7" s="1"/>
  <c r="A76" i="7" s="1"/>
  <c r="A77" i="7" s="1"/>
  <c r="A78" i="7" s="1"/>
  <c r="A79" i="7" s="1"/>
  <c r="A80" i="7" s="1"/>
  <c r="A81" i="7" s="1"/>
  <c r="A82" i="7" s="1"/>
  <c r="A83" i="7" s="1"/>
  <c r="A84" i="7" s="1"/>
  <c r="A85" i="7" s="1"/>
  <c r="A86" i="7" s="1"/>
  <c r="A87" i="7" s="1"/>
  <c r="A88" i="7" s="1"/>
  <c r="A89" i="7" s="1"/>
  <c r="A90" i="7" s="1"/>
  <c r="A91" i="7" s="1"/>
  <c r="A92" i="7" s="1"/>
  <c r="A93" i="7" s="1"/>
  <c r="A94" i="7" s="1"/>
  <c r="A95" i="7" s="1"/>
  <c r="A96" i="7" s="1"/>
  <c r="A97" i="7" s="1"/>
  <c r="A98" i="7" s="1"/>
  <c r="A99" i="7" s="1"/>
  <c r="A100" i="7" s="1"/>
  <c r="A101" i="7" s="1"/>
  <c r="A102" i="7" s="1"/>
  <c r="A103" i="7" s="1"/>
  <c r="A104" i="7" s="1"/>
  <c r="A105" i="7" s="1"/>
  <c r="A106" i="7" s="1"/>
  <c r="A107" i="7" s="1"/>
  <c r="A108" i="7" s="1"/>
  <c r="A109" i="7" s="1"/>
  <c r="A110" i="7" s="1"/>
  <c r="A111" i="7" s="1"/>
  <c r="A112" i="7" s="1"/>
  <c r="A113" i="7" s="1"/>
  <c r="A114" i="7" s="1"/>
  <c r="A115" i="7" s="1"/>
  <c r="A116" i="7" s="1"/>
  <c r="A117" i="7" s="1"/>
  <c r="A118" i="7" s="1"/>
  <c r="A119" i="7" s="1"/>
  <c r="A120" i="7" s="1"/>
  <c r="A121" i="7" s="1"/>
  <c r="A122" i="7" s="1"/>
  <c r="A123" i="7" s="1"/>
  <c r="A124" i="7" s="1"/>
  <c r="A125" i="7" s="1"/>
  <c r="A126" i="7" s="1"/>
  <c r="A127" i="7" s="1"/>
  <c r="A128" i="7" s="1"/>
  <c r="A129" i="7" s="1"/>
  <c r="A130" i="7" s="1"/>
  <c r="A131" i="7" s="1"/>
  <c r="A132" i="7" s="1"/>
  <c r="A133" i="7" s="1"/>
  <c r="A134" i="7" s="1"/>
  <c r="A135" i="7" s="1"/>
  <c r="A136" i="7" s="1"/>
  <c r="A137" i="7" s="1"/>
  <c r="A138" i="7" s="1"/>
  <c r="A139" i="7" s="1"/>
  <c r="A140" i="7" s="1"/>
  <c r="A141" i="7" s="1"/>
  <c r="A142" i="7" s="1"/>
  <c r="A143" i="7" s="1"/>
  <c r="A144" i="7" s="1"/>
  <c r="A145" i="7" s="1"/>
  <c r="A146" i="7" s="1"/>
  <c r="A147" i="7" s="1"/>
  <c r="A148" i="7" s="1"/>
  <c r="A149" i="7" s="1"/>
  <c r="A150" i="7" s="1"/>
  <c r="A151" i="7" s="1"/>
  <c r="A152" i="7" s="1"/>
  <c r="A153" i="7" s="1"/>
  <c r="A154" i="7" s="1"/>
  <c r="A155" i="7" s="1"/>
  <c r="A156" i="7" s="1"/>
  <c r="A157" i="7" s="1"/>
  <c r="A158" i="7" s="1"/>
  <c r="A159" i="7" s="1"/>
  <c r="A160" i="7" s="1"/>
  <c r="A161" i="7" s="1"/>
  <c r="A162" i="7" s="1"/>
  <c r="A163" i="7" s="1"/>
  <c r="A164" i="7" s="1"/>
  <c r="A165" i="7" s="1"/>
  <c r="A166" i="7" s="1"/>
  <c r="A167" i="7" s="1"/>
  <c r="A168" i="7" s="1"/>
  <c r="A169" i="7" s="1"/>
  <c r="A170" i="7" s="1"/>
  <c r="A171" i="7" s="1"/>
  <c r="A172" i="7" s="1"/>
  <c r="A173" i="7" s="1"/>
  <c r="A174" i="7" s="1"/>
  <c r="A175" i="7" s="1"/>
  <c r="A176" i="7" s="1"/>
  <c r="A177" i="7" s="1"/>
  <c r="A178" i="7" s="1"/>
  <c r="A179" i="7" s="1"/>
  <c r="A180" i="7" s="1"/>
  <c r="A181" i="7" s="1"/>
  <c r="A182" i="7" s="1"/>
  <c r="A183" i="7" s="1"/>
  <c r="A184" i="7" s="1"/>
  <c r="A185" i="7" s="1"/>
  <c r="A186" i="7" s="1"/>
  <c r="A187" i="7" s="1"/>
  <c r="A188" i="7" s="1"/>
  <c r="A189" i="7" s="1"/>
  <c r="A190" i="7" s="1"/>
  <c r="A191" i="7" s="1"/>
  <c r="A192" i="7" s="1"/>
  <c r="A193" i="7" s="1"/>
  <c r="A194" i="7" s="1"/>
  <c r="A195" i="7" s="1"/>
  <c r="A196" i="7" s="1"/>
  <c r="A197" i="7" s="1"/>
  <c r="A198" i="7" s="1"/>
  <c r="A199" i="7" s="1"/>
  <c r="A200" i="7" s="1"/>
  <c r="A201" i="7" s="1"/>
  <c r="A202" i="7" s="1"/>
  <c r="A203" i="7" s="1"/>
  <c r="A204" i="7" s="1"/>
  <c r="A205" i="7" s="1"/>
  <c r="A206" i="7" s="1"/>
  <c r="A207" i="7" s="1"/>
  <c r="A208" i="7" s="1"/>
  <c r="A209" i="7" s="1"/>
  <c r="A210" i="7" s="1"/>
  <c r="A211" i="7" s="1"/>
  <c r="A212" i="7" s="1"/>
  <c r="A213" i="7" s="1"/>
  <c r="A214" i="7" s="1"/>
  <c r="A215" i="7" s="1"/>
  <c r="A216" i="7" s="1"/>
  <c r="A217" i="7" s="1"/>
  <c r="A218" i="7" s="1"/>
  <c r="A219" i="7" s="1"/>
  <c r="A220" i="7" s="1"/>
  <c r="A221" i="7" s="1"/>
  <c r="A222" i="7" s="1"/>
  <c r="A223" i="7" s="1"/>
  <c r="A224" i="7" s="1"/>
  <c r="A225" i="7" s="1"/>
  <c r="A226" i="7" s="1"/>
  <c r="A227" i="7" s="1"/>
  <c r="A228" i="7" s="1"/>
  <c r="A229" i="7" s="1"/>
  <c r="A230" i="7" s="1"/>
  <c r="A231" i="7" s="1"/>
  <c r="A232" i="7" s="1"/>
  <c r="A233" i="7" s="1"/>
  <c r="A234" i="7" s="1"/>
  <c r="A235" i="7" s="1"/>
  <c r="A236" i="7" s="1"/>
  <c r="A237" i="7" s="1"/>
  <c r="A238" i="7" s="1"/>
  <c r="A239" i="7" s="1"/>
  <c r="A240" i="7" s="1"/>
  <c r="A241" i="7" s="1"/>
  <c r="A242" i="7" s="1"/>
  <c r="A243" i="7" s="1"/>
  <c r="A244" i="7" s="1"/>
  <c r="A245" i="7" s="1"/>
  <c r="A246" i="7" s="1"/>
  <c r="A247" i="7" s="1"/>
  <c r="A248" i="7" s="1"/>
  <c r="A249" i="7" s="1"/>
  <c r="A250" i="7" s="1"/>
  <c r="A251" i="7" s="1"/>
  <c r="A252" i="7" s="1"/>
  <c r="A253" i="7" s="1"/>
  <c r="A254" i="7" s="1"/>
  <c r="A255" i="7" s="1"/>
  <c r="A256" i="7" s="1"/>
  <c r="A257" i="7" s="1"/>
  <c r="A258" i="7" s="1"/>
  <c r="A259" i="7" s="1"/>
  <c r="A260" i="7" s="1"/>
  <c r="A261" i="7" s="1"/>
  <c r="A262" i="7" s="1"/>
  <c r="A263" i="7" s="1"/>
  <c r="A264" i="7" s="1"/>
  <c r="A265" i="7" s="1"/>
  <c r="A266" i="7" s="1"/>
  <c r="A267" i="7" s="1"/>
  <c r="A268" i="7" s="1"/>
  <c r="A269" i="7" s="1"/>
  <c r="B96" i="7"/>
  <c r="B95" i="7"/>
  <c r="B94" i="7"/>
  <c r="B93" i="7"/>
  <c r="B92" i="7"/>
  <c r="B91" i="7"/>
  <c r="B90" i="7"/>
  <c r="B89" i="7"/>
  <c r="B88" i="7"/>
  <c r="B87" i="7"/>
  <c r="B86" i="7"/>
  <c r="B85" i="7"/>
  <c r="B84" i="7"/>
  <c r="B83" i="7"/>
  <c r="B82" i="7"/>
  <c r="B81" i="7"/>
  <c r="B80" i="7"/>
  <c r="B79" i="7"/>
  <c r="B78" i="7"/>
  <c r="B77" i="7"/>
  <c r="B76" i="7"/>
  <c r="B75" i="7"/>
  <c r="B74" i="7"/>
  <c r="B73" i="7"/>
  <c r="B72" i="7"/>
  <c r="B71" i="7"/>
  <c r="B70" i="7"/>
  <c r="B69" i="7"/>
  <c r="B68" i="7"/>
  <c r="B67" i="7"/>
  <c r="B66" i="7"/>
  <c r="B65" i="7"/>
  <c r="B64" i="7"/>
  <c r="B63" i="7"/>
  <c r="B62" i="7"/>
  <c r="B61" i="7"/>
  <c r="B60" i="7"/>
  <c r="B59" i="7"/>
  <c r="B58" i="7"/>
  <c r="B57" i="7"/>
  <c r="B56" i="7"/>
  <c r="B55" i="7"/>
  <c r="B54" i="7"/>
  <c r="B53" i="7"/>
  <c r="B52" i="7"/>
  <c r="B51" i="7"/>
  <c r="B50" i="7"/>
  <c r="B49" i="7"/>
  <c r="B48" i="7"/>
  <c r="B47" i="7"/>
  <c r="B46" i="7"/>
  <c r="B45" i="7"/>
  <c r="B44" i="7"/>
  <c r="B43" i="7"/>
  <c r="B42" i="7"/>
  <c r="B41" i="7"/>
  <c r="B40" i="7"/>
  <c r="B39" i="7"/>
  <c r="B38" i="7"/>
  <c r="B37" i="7"/>
  <c r="B36" i="7"/>
  <c r="B35" i="7"/>
  <c r="B34" i="7"/>
  <c r="B33" i="7"/>
  <c r="B32" i="7"/>
  <c r="B31" i="7"/>
  <c r="B30" i="7"/>
  <c r="B29" i="7"/>
  <c r="B28" i="7"/>
  <c r="B27" i="7"/>
  <c r="B26" i="7"/>
  <c r="B25" i="7"/>
  <c r="B24" i="7"/>
  <c r="B23" i="7"/>
  <c r="B22" i="7"/>
  <c r="B21" i="7"/>
  <c r="B20" i="7"/>
  <c r="B19" i="7"/>
  <c r="B18" i="7"/>
  <c r="B17" i="7"/>
  <c r="B16" i="7"/>
  <c r="B15" i="7"/>
  <c r="B14" i="7"/>
  <c r="B13" i="7"/>
  <c r="B12" i="7"/>
  <c r="B11" i="7"/>
  <c r="B10" i="7"/>
  <c r="B9" i="7"/>
  <c r="B8" i="7"/>
  <c r="B7" i="7"/>
  <c r="B6" i="7"/>
  <c r="B5" i="7"/>
  <c r="B4" i="7"/>
  <c r="K166" i="7" l="1"/>
  <c r="M166" i="7" s="1"/>
  <c r="K157" i="7"/>
  <c r="M157" i="7" s="1"/>
  <c r="K171" i="7"/>
  <c r="M171" i="7" s="1"/>
  <c r="K81" i="7"/>
  <c r="M81" i="7" s="1"/>
  <c r="K121" i="7"/>
  <c r="M121" i="7" s="1"/>
  <c r="K97" i="7"/>
  <c r="M97" i="7" s="1"/>
  <c r="K127" i="7"/>
  <c r="M127" i="7" s="1"/>
  <c r="K159" i="7"/>
  <c r="M159" i="7" s="1"/>
  <c r="K174" i="7"/>
  <c r="M174" i="7" s="1"/>
  <c r="K282" i="7"/>
  <c r="M282" i="7" s="1"/>
  <c r="K298" i="7"/>
  <c r="M298" i="7" s="1"/>
  <c r="K196" i="7"/>
  <c r="M196" i="7" s="1"/>
  <c r="K64" i="7"/>
  <c r="M64" i="7" s="1"/>
  <c r="K292" i="7"/>
  <c r="M292" i="7" s="1"/>
  <c r="K277" i="7"/>
  <c r="M277" i="7" s="1"/>
  <c r="K297" i="7"/>
  <c r="M297" i="7" s="1"/>
  <c r="K164" i="7"/>
  <c r="M164" i="7" s="1"/>
  <c r="K187" i="7"/>
  <c r="M187" i="7" s="1"/>
  <c r="K115" i="7"/>
  <c r="M115" i="7" s="1"/>
  <c r="K204" i="7"/>
  <c r="M204" i="7" s="1"/>
  <c r="K256" i="7"/>
  <c r="M256" i="7" s="1"/>
  <c r="K88" i="7"/>
  <c r="M88" i="7" s="1"/>
  <c r="K73" i="7"/>
  <c r="M73" i="7" s="1"/>
  <c r="K193" i="7"/>
  <c r="M193" i="7" s="1"/>
  <c r="K132" i="7"/>
  <c r="M132" i="7" s="1"/>
  <c r="K123" i="7"/>
  <c r="M123" i="7" s="1"/>
  <c r="K131" i="7"/>
  <c r="M131" i="7" s="1"/>
  <c r="K222" i="7"/>
  <c r="M222" i="7" s="1"/>
  <c r="K246" i="7"/>
  <c r="M246" i="7" s="1"/>
  <c r="K294" i="7"/>
  <c r="M294" i="7" s="1"/>
  <c r="K250" i="7"/>
  <c r="M250" i="7" s="1"/>
  <c r="K66" i="7"/>
  <c r="M66" i="7" s="1"/>
  <c r="K295" i="7"/>
  <c r="M295" i="7" s="1"/>
  <c r="K126" i="7"/>
  <c r="M126" i="7" s="1"/>
  <c r="K150" i="7"/>
  <c r="M150" i="7" s="1"/>
  <c r="K281" i="7"/>
  <c r="M281" i="7" s="1"/>
  <c r="K114" i="7"/>
  <c r="M114" i="7" s="1"/>
  <c r="K119" i="7"/>
  <c r="M119" i="7" s="1"/>
  <c r="K107" i="7"/>
  <c r="M107" i="7" s="1"/>
  <c r="K182" i="7"/>
  <c r="M182" i="7" s="1"/>
  <c r="K135" i="7"/>
  <c r="M135" i="7" s="1"/>
  <c r="K264" i="7"/>
  <c r="M264" i="7" s="1"/>
  <c r="K280" i="7"/>
  <c r="M280" i="7" s="1"/>
  <c r="K296" i="7"/>
  <c r="M296" i="7" s="1"/>
  <c r="K291" i="7"/>
  <c r="M291" i="7" s="1"/>
  <c r="K98" i="7"/>
  <c r="M98" i="7" s="1"/>
  <c r="K106" i="7"/>
  <c r="M106" i="7" s="1"/>
  <c r="K175" i="7"/>
  <c r="M175" i="7" s="1"/>
  <c r="K259" i="7"/>
  <c r="M259" i="7" s="1"/>
  <c r="K57" i="7"/>
  <c r="M57" i="7" s="1"/>
  <c r="K78" i="7"/>
  <c r="M78" i="7" s="1"/>
  <c r="K161" i="7"/>
  <c r="M161" i="7" s="1"/>
  <c r="K244" i="7"/>
  <c r="M244" i="7" s="1"/>
  <c r="K183" i="7"/>
  <c r="M183" i="7" s="1"/>
  <c r="K58" i="7"/>
  <c r="M58" i="7" s="1"/>
  <c r="K190" i="7"/>
  <c r="M190" i="7" s="1"/>
  <c r="K198" i="7"/>
  <c r="M198" i="7" s="1"/>
  <c r="K148" i="7"/>
  <c r="M148" i="7" s="1"/>
  <c r="K208" i="7"/>
  <c r="M208" i="7" s="1"/>
  <c r="K216" i="7"/>
  <c r="M216" i="7" s="1"/>
  <c r="K265" i="7"/>
  <c r="M265" i="7" s="1"/>
  <c r="K67" i="7"/>
  <c r="M67" i="7" s="1"/>
  <c r="K82" i="7"/>
  <c r="M82" i="7" s="1"/>
  <c r="K90" i="7"/>
  <c r="M90" i="7" s="1"/>
  <c r="K110" i="7"/>
  <c r="M110" i="7" s="1"/>
  <c r="K170" i="7"/>
  <c r="M170" i="7" s="1"/>
  <c r="K232" i="7"/>
  <c r="M232" i="7" s="1"/>
  <c r="K188" i="7"/>
  <c r="M188" i="7" s="1"/>
  <c r="K268" i="7"/>
  <c r="M268" i="7" s="1"/>
  <c r="K146" i="7"/>
  <c r="M146" i="7" s="1"/>
  <c r="K258" i="7"/>
  <c r="M258" i="7" s="1"/>
  <c r="K84" i="7"/>
  <c r="M84" i="7" s="1"/>
  <c r="K162" i="7"/>
  <c r="M162" i="7" s="1"/>
  <c r="K251" i="7"/>
  <c r="M251" i="7" s="1"/>
  <c r="K227" i="7"/>
  <c r="M227" i="7" s="1"/>
  <c r="K118" i="7"/>
  <c r="M118" i="7" s="1"/>
  <c r="K192" i="7"/>
  <c r="M192" i="7" s="1"/>
  <c r="K214" i="7"/>
  <c r="M214" i="7" s="1"/>
  <c r="K201" i="7"/>
  <c r="M201" i="7" s="1"/>
  <c r="K245" i="7"/>
  <c r="M245" i="7" s="1"/>
  <c r="K279" i="7"/>
  <c r="M279" i="7" s="1"/>
  <c r="K202" i="7"/>
  <c r="M202" i="7" s="1"/>
  <c r="K56" i="7"/>
  <c r="M56" i="7" s="1"/>
  <c r="K95" i="7"/>
  <c r="M95" i="7" s="1"/>
  <c r="K179" i="7"/>
  <c r="M179" i="7" s="1"/>
  <c r="K231" i="7"/>
  <c r="M231" i="7" s="1"/>
  <c r="K185" i="7"/>
  <c r="M185" i="7" s="1"/>
  <c r="K260" i="7"/>
  <c r="M260" i="7" s="1"/>
  <c r="K102" i="7"/>
  <c r="M102" i="7" s="1"/>
  <c r="K158" i="7"/>
  <c r="M158" i="7" s="1"/>
  <c r="K255" i="7"/>
  <c r="M255" i="7" s="1"/>
  <c r="K262" i="7"/>
  <c r="M262" i="7" s="1"/>
  <c r="K163" i="7"/>
  <c r="M163" i="7" s="1"/>
  <c r="K237" i="7"/>
  <c r="M237" i="7" s="1"/>
  <c r="K65" i="7"/>
  <c r="M65" i="7" s="1"/>
  <c r="K105" i="7"/>
  <c r="M105" i="7" s="1"/>
  <c r="K62" i="7"/>
  <c r="M62" i="7" s="1"/>
  <c r="K68" i="7"/>
  <c r="M68" i="7" s="1"/>
  <c r="K89" i="7"/>
  <c r="M89" i="7" s="1"/>
  <c r="K103" i="7"/>
  <c r="M103" i="7" s="1"/>
  <c r="K168" i="7"/>
  <c r="M168" i="7" s="1"/>
  <c r="K151" i="7"/>
  <c r="M151" i="7" s="1"/>
  <c r="K177" i="7"/>
  <c r="M177" i="7" s="1"/>
  <c r="K94" i="7"/>
  <c r="M94" i="7" s="1"/>
  <c r="K83" i="7"/>
  <c r="M83" i="7" s="1"/>
  <c r="K99" i="7"/>
  <c r="M99" i="7" s="1"/>
  <c r="K117" i="7"/>
  <c r="M117" i="7" s="1"/>
  <c r="K137" i="7"/>
  <c r="M137" i="7" s="1"/>
  <c r="K212" i="7"/>
  <c r="M212" i="7" s="1"/>
  <c r="K234" i="7"/>
  <c r="M234" i="7" s="1"/>
  <c r="K242" i="7"/>
  <c r="M242" i="7" s="1"/>
  <c r="K276" i="7"/>
  <c r="M276" i="7" s="1"/>
  <c r="K220" i="7"/>
  <c r="M220" i="7" s="1"/>
  <c r="K272" i="7"/>
  <c r="M272" i="7" s="1"/>
  <c r="K63" i="7"/>
  <c r="M63" i="7" s="1"/>
  <c r="K134" i="7"/>
  <c r="M134" i="7" s="1"/>
  <c r="K169" i="7"/>
  <c r="M169" i="7" s="1"/>
  <c r="K176" i="7"/>
  <c r="M176" i="7" s="1"/>
  <c r="K186" i="7"/>
  <c r="M186" i="7" s="1"/>
  <c r="K72" i="7"/>
  <c r="M72" i="7" s="1"/>
  <c r="K79" i="7"/>
  <c r="M79" i="7" s="1"/>
  <c r="K142" i="7"/>
  <c r="M142" i="7" s="1"/>
  <c r="K230" i="7"/>
  <c r="M230" i="7" s="1"/>
  <c r="K178" i="7"/>
  <c r="M178" i="7" s="1"/>
  <c r="K172" i="7"/>
  <c r="M172" i="7" s="1"/>
  <c r="K224" i="7"/>
  <c r="M224" i="7" s="1"/>
  <c r="K112" i="7"/>
  <c r="M112" i="7" s="1"/>
  <c r="K130" i="7"/>
  <c r="M130" i="7" s="1"/>
  <c r="K149" i="7"/>
  <c r="M149" i="7" s="1"/>
  <c r="K136" i="7"/>
  <c r="M136" i="7" s="1"/>
  <c r="K144" i="7"/>
  <c r="M144" i="7" s="1"/>
  <c r="K240" i="7"/>
  <c r="M240" i="7" s="1"/>
  <c r="K248" i="7"/>
  <c r="M248" i="7" s="1"/>
  <c r="K71" i="7"/>
  <c r="M71" i="7" s="1"/>
  <c r="K91" i="7"/>
  <c r="M91" i="7" s="1"/>
  <c r="K96" i="7"/>
  <c r="M96" i="7" s="1"/>
  <c r="K104" i="7"/>
  <c r="M104" i="7" s="1"/>
  <c r="K165" i="7"/>
  <c r="M165" i="7" s="1"/>
  <c r="K197" i="7"/>
  <c r="M197" i="7" s="1"/>
  <c r="K69" i="7"/>
  <c r="M69" i="7" s="1"/>
  <c r="K74" i="7"/>
  <c r="M74" i="7" s="1"/>
  <c r="K153" i="7"/>
  <c r="M153" i="7" s="1"/>
  <c r="K167" i="7"/>
  <c r="M167" i="7" s="1"/>
  <c r="K209" i="7"/>
  <c r="M209" i="7" s="1"/>
  <c r="K229" i="7"/>
  <c r="M229" i="7" s="1"/>
  <c r="K228" i="7"/>
  <c r="M228" i="7" s="1"/>
  <c r="K87" i="7"/>
  <c r="M87" i="7" s="1"/>
  <c r="K154" i="7"/>
  <c r="M154" i="7" s="1"/>
  <c r="K206" i="7"/>
  <c r="M206" i="7" s="1"/>
  <c r="K269" i="7"/>
  <c r="M269" i="7" s="1"/>
  <c r="K217" i="7"/>
  <c r="M217" i="7" s="1"/>
  <c r="K180" i="7"/>
  <c r="M180" i="7" s="1"/>
  <c r="K147" i="7"/>
  <c r="M147" i="7" s="1"/>
  <c r="K181" i="7"/>
  <c r="M181" i="7" s="1"/>
  <c r="K189" i="7"/>
  <c r="M189" i="7" s="1"/>
  <c r="K203" i="7"/>
  <c r="M203" i="7" s="1"/>
  <c r="K213" i="7"/>
  <c r="M213" i="7" s="1"/>
  <c r="K235" i="7"/>
  <c r="M235" i="7" s="1"/>
  <c r="K252" i="7"/>
  <c r="M252" i="7" s="1"/>
  <c r="K155" i="7"/>
  <c r="M155" i="7" s="1"/>
  <c r="K191" i="7"/>
  <c r="M191" i="7" s="1"/>
  <c r="K226" i="7"/>
  <c r="M226" i="7" s="1"/>
  <c r="K254" i="7"/>
  <c r="M254" i="7" s="1"/>
  <c r="K210" i="7"/>
  <c r="M210" i="7" s="1"/>
  <c r="K238" i="7"/>
  <c r="M238" i="7" s="1"/>
  <c r="K138" i="7"/>
  <c r="M138" i="7" s="1"/>
  <c r="K86" i="7"/>
  <c r="M86" i="7" s="1"/>
  <c r="K140" i="7"/>
  <c r="M140" i="7" s="1"/>
  <c r="K77" i="7"/>
  <c r="M77" i="7" s="1"/>
  <c r="K129" i="7"/>
  <c r="M129" i="7" s="1"/>
  <c r="K70" i="7"/>
  <c r="M70" i="7" s="1"/>
  <c r="K122" i="7"/>
  <c r="M122" i="7" s="1"/>
  <c r="K173" i="7"/>
  <c r="M173" i="7" s="1"/>
  <c r="K225" i="7"/>
  <c r="M225" i="7" s="1"/>
  <c r="K200" i="7"/>
  <c r="M200" i="7" s="1"/>
  <c r="K263" i="7"/>
  <c r="M263" i="7" s="1"/>
  <c r="K211" i="7"/>
  <c r="M211" i="7" s="1"/>
  <c r="K61" i="7"/>
  <c r="M61" i="7" s="1"/>
  <c r="K113" i="7"/>
  <c r="M113" i="7" s="1"/>
  <c r="K160" i="7"/>
  <c r="M160" i="7" s="1"/>
  <c r="K108" i="7"/>
  <c r="M108" i="7" s="1"/>
  <c r="K93" i="7"/>
  <c r="M93" i="7" s="1"/>
  <c r="K145" i="7"/>
  <c r="M145" i="7" s="1"/>
  <c r="K233" i="7"/>
  <c r="M233" i="7" s="1"/>
  <c r="K100" i="7"/>
  <c r="M100" i="7" s="1"/>
  <c r="K152" i="7"/>
  <c r="M152" i="7" s="1"/>
  <c r="K249" i="7"/>
  <c r="M249" i="7" s="1"/>
  <c r="K143" i="7"/>
  <c r="M143" i="7" s="1"/>
  <c r="K156" i="7"/>
  <c r="M156" i="7" s="1"/>
  <c r="K270" i="7"/>
  <c r="M270" i="7" s="1"/>
  <c r="K218" i="7"/>
  <c r="M218" i="7" s="1"/>
  <c r="K194" i="7"/>
  <c r="M194" i="7" s="1"/>
  <c r="K128" i="7"/>
  <c r="M128" i="7" s="1"/>
  <c r="K199" i="7"/>
  <c r="M199" i="7" s="1"/>
  <c r="K257" i="7"/>
  <c r="M257" i="7" s="1"/>
  <c r="K205" i="7"/>
  <c r="M205" i="7" s="1"/>
  <c r="K241" i="7"/>
  <c r="M241" i="7" s="1"/>
  <c r="K124" i="7"/>
  <c r="M124" i="7" s="1"/>
  <c r="K215" i="7"/>
  <c r="M215" i="7" s="1"/>
  <c r="K267" i="7"/>
  <c r="M267" i="7" s="1"/>
  <c r="K266" i="7"/>
  <c r="M266" i="7" s="1"/>
  <c r="K273" i="7"/>
  <c r="M273" i="7" s="1"/>
  <c r="K221" i="7"/>
  <c r="M221" i="7" s="1"/>
  <c r="K59" i="7"/>
  <c r="M59" i="7" s="1"/>
  <c r="K111" i="7"/>
  <c r="M111" i="7" s="1"/>
  <c r="K75" i="7"/>
  <c r="M75" i="7" s="1"/>
  <c r="K85" i="7"/>
  <c r="M85" i="7" s="1"/>
  <c r="K116" i="7"/>
  <c r="M116" i="7" s="1"/>
  <c r="K120" i="7"/>
  <c r="M120" i="7" s="1"/>
  <c r="K139" i="7"/>
  <c r="M139" i="7" s="1"/>
  <c r="K195" i="7"/>
  <c r="M195" i="7" s="1"/>
  <c r="K60" i="7"/>
  <c r="M60" i="7" s="1"/>
  <c r="K92" i="7"/>
  <c r="M92" i="7" s="1"/>
  <c r="K141" i="7"/>
  <c r="M141" i="7" s="1"/>
  <c r="K274" i="7"/>
  <c r="M274" i="7" s="1"/>
  <c r="K80" i="7"/>
  <c r="M80" i="7" s="1"/>
  <c r="K271" i="7"/>
  <c r="M271" i="7" s="1"/>
  <c r="K219" i="7"/>
  <c r="M219" i="7" s="1"/>
  <c r="K239" i="7"/>
  <c r="M239" i="7" s="1"/>
  <c r="K253" i="7"/>
  <c r="M253" i="7" s="1"/>
  <c r="K76" i="7"/>
  <c r="M76" i="7" s="1"/>
  <c r="K101" i="7"/>
  <c r="M101" i="7" s="1"/>
  <c r="K109" i="7"/>
  <c r="M109" i="7" s="1"/>
  <c r="K125" i="7"/>
  <c r="M125" i="7" s="1"/>
  <c r="K133" i="7"/>
  <c r="M133" i="7" s="1"/>
  <c r="K184" i="7"/>
  <c r="M184" i="7" s="1"/>
  <c r="K236" i="7"/>
  <c r="M236" i="7" s="1"/>
  <c r="K243" i="7"/>
  <c r="M243" i="7" s="1"/>
  <c r="K207" i="7"/>
  <c r="M207" i="7" s="1"/>
  <c r="K275" i="7"/>
  <c r="M275" i="7" s="1"/>
  <c r="K223" i="7"/>
  <c r="M223" i="7" s="1"/>
  <c r="K247" i="7"/>
  <c r="M247" i="7" s="1"/>
  <c r="K261" i="7"/>
  <c r="M261" i="7" s="1"/>
  <c r="K278" i="7"/>
  <c r="M278" i="7" s="1"/>
</calcChain>
</file>

<file path=xl/comments1.xml><?xml version="1.0" encoding="utf-8"?>
<comments xmlns="http://schemas.openxmlformats.org/spreadsheetml/2006/main">
  <authors>
    <author>John.Graeflin</author>
    <author>John Graeflin</author>
  </authors>
  <commentList>
    <comment ref="B96" authorId="0" shapeId="0">
      <text>
        <r>
          <rPr>
            <b/>
            <sz val="9"/>
            <color indexed="81"/>
            <rFont val="Tahoma"/>
            <family val="2"/>
          </rPr>
          <t>This week includes a holiday</t>
        </r>
      </text>
    </comment>
    <comment ref="B100" authorId="0" shapeId="0">
      <text>
        <r>
          <rPr>
            <b/>
            <sz val="9"/>
            <color indexed="81"/>
            <rFont val="Tahoma"/>
            <family val="2"/>
          </rPr>
          <t>This week includes a holiday</t>
        </r>
      </text>
    </comment>
    <comment ref="B101" authorId="0" shapeId="0">
      <text>
        <r>
          <rPr>
            <b/>
            <sz val="9"/>
            <color indexed="81"/>
            <rFont val="Tahoma"/>
            <family val="2"/>
          </rPr>
          <t>This week includes a holiday</t>
        </r>
      </text>
    </comment>
    <comment ref="A180" authorId="1" shapeId="0">
      <text>
        <r>
          <rPr>
            <sz val="9"/>
            <color indexed="81"/>
            <rFont val="Tahoma"/>
            <family val="2"/>
          </rPr>
          <t>A holiday week always has fewer claims.</t>
        </r>
      </text>
    </comment>
  </commentList>
</comments>
</file>

<file path=xl/sharedStrings.xml><?xml version="1.0" encoding="utf-8"?>
<sst xmlns="http://schemas.openxmlformats.org/spreadsheetml/2006/main" count="33" uniqueCount="26">
  <si>
    <t>UI</t>
  </si>
  <si>
    <t>UCFE</t>
  </si>
  <si>
    <t>UCX</t>
  </si>
  <si>
    <t>EB</t>
  </si>
  <si>
    <t>Unemployment Claims Filed in Arizona</t>
  </si>
  <si>
    <t>Total</t>
  </si>
  <si>
    <t xml:space="preserve"> EUC
 Tier 1</t>
  </si>
  <si>
    <t xml:space="preserve"> EUC
 Tier 2</t>
  </si>
  <si>
    <t xml:space="preserve"> EUC
 Tier 3</t>
  </si>
  <si>
    <t xml:space="preserve"> EUC
 Tier 4</t>
  </si>
  <si>
    <t>Definitions for each column in the report</t>
  </si>
  <si>
    <t>EUC</t>
  </si>
  <si>
    <t>Extended benefit (EB) claims and Emergency Unemployment Compensation (EUC) come into being when the state's unemployment rate reaches a certain level (which is different for different states).</t>
  </si>
  <si>
    <t>Regular UI benefits run for 26 weeks, EB's for 13 weeks.  Tiers 1, 2, 3, and 4 of EUC run for 20, 14, 13, and 6 weeks respectively.  All together, they provide 92 weeks (or 1 year and 9 months) of benefits.</t>
  </si>
  <si>
    <t>52-week change</t>
  </si>
  <si>
    <t>Percent change</t>
  </si>
  <si>
    <t>UI claims, which account for the bulk of unemployment insurance claims, are paid by each state.  UCFE and UCX claims are paid by the federal government.  UCFE is for federal employees, and UCX is for veterans.  UI Claims include work share equivalent claims.</t>
  </si>
  <si>
    <t>UI*</t>
  </si>
  <si>
    <t>Initial Claims*</t>
  </si>
  <si>
    <t>* Includes workshare equivalent claims.</t>
  </si>
  <si>
    <t>Link to ETA website for UI data:</t>
  </si>
  <si>
    <t xml:space="preserve">NOTE: The Arizona Department of Economic Security (DES) is updating its systems to compy with  all new </t>
  </si>
  <si>
    <t>state and federal legislative changes. This, compounded with unprecedented surge in initial claims, may</t>
  </si>
  <si>
    <t>lead to challenges when trying to compare this data to historical norms or trends.</t>
  </si>
  <si>
    <t>Report for Week Ending</t>
  </si>
  <si>
    <t>https://oui.doleta.gov/unemploy/DataDashboard.asp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</si>
</sst>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m/d/yy;@"/>
  </numFmts>
  <fonts count="38" x14ac:knownFonts="1">
    <font>
      <sz val="11"/>
      <color theme="1"/>
      <name val="Calibri"/>
      <family val="2"/>
      <scheme val="minor"/>
    </font>
    <font>
      <sz val="11"/>
      <color indexed="8"/>
      <name val="Calibri"/>
      <family val="2"/>
    </font>
    <font>
      <sz val="11"/>
      <color indexed="8"/>
      <name val="Tahoma"/>
      <family val="2"/>
    </font>
    <font>
      <sz val="11"/>
      <color indexed="12"/>
      <name val="Tahoma"/>
      <family val="2"/>
    </font>
    <font>
      <b/>
      <sz val="15"/>
      <color indexed="62"/>
      <name val="Calibri"/>
      <family val="2"/>
    </font>
    <font>
      <b/>
      <sz val="11"/>
      <color indexed="62"/>
      <name val="Calibri"/>
      <family val="2"/>
    </font>
    <font>
      <b/>
      <sz val="18"/>
      <color indexed="62"/>
      <name val="Cambria"/>
      <family val="2"/>
    </font>
    <font>
      <sz val="8"/>
      <name val="Calibri"/>
      <family val="2"/>
    </font>
    <font>
      <sz val="14"/>
      <name val="Tahoma"/>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3"/>
      <color indexed="62"/>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1"/>
      <color theme="1"/>
      <name val="Calibri"/>
      <family val="2"/>
      <scheme val="minor"/>
    </font>
    <font>
      <sz val="11"/>
      <color rgb="FFFF0000"/>
      <name val="Calibri"/>
      <family val="2"/>
      <scheme val="minor"/>
    </font>
    <font>
      <sz val="9"/>
      <color theme="4" tint="-0.499984740745262"/>
      <name val="Calibri"/>
      <family val="2"/>
      <scheme val="minor"/>
    </font>
    <font>
      <sz val="11"/>
      <color theme="4" tint="-0.499984740745262"/>
      <name val="Calibri"/>
      <family val="2"/>
      <scheme val="minor"/>
    </font>
    <font>
      <sz val="11"/>
      <color theme="4" tint="-0.249977111117893"/>
      <name val="Calibri"/>
      <family val="2"/>
      <scheme val="minor"/>
    </font>
    <font>
      <sz val="11"/>
      <color indexed="8"/>
      <name val="Calibri"/>
      <family val="2"/>
      <scheme val="minor"/>
    </font>
    <font>
      <b/>
      <sz val="16"/>
      <color theme="4" tint="0.79998168889431442"/>
      <name val="Calibri"/>
      <family val="2"/>
      <scheme val="minor"/>
    </font>
    <font>
      <b/>
      <sz val="11"/>
      <color theme="4"/>
      <name val="Calibri"/>
      <family val="2"/>
      <scheme val="minor"/>
    </font>
    <font>
      <b/>
      <sz val="18"/>
      <color theme="0"/>
      <name val="Calibri"/>
      <family val="2"/>
      <scheme val="minor"/>
    </font>
    <font>
      <sz val="14"/>
      <name val="Tahoma"/>
      <family val="2"/>
    </font>
    <font>
      <sz val="9"/>
      <color indexed="8"/>
      <name val="Tahoma"/>
      <family val="2"/>
    </font>
    <font>
      <sz val="9"/>
      <color theme="4" tint="-0.249977111117893"/>
      <name val="Tahoma"/>
      <family val="2"/>
    </font>
    <font>
      <u/>
      <sz val="11"/>
      <color theme="10"/>
      <name val="Calibri"/>
      <family val="2"/>
      <scheme val="minor"/>
    </font>
    <font>
      <b/>
      <sz val="9"/>
      <color indexed="81"/>
      <name val="Tahoma"/>
      <family val="2"/>
    </font>
    <font>
      <sz val="9"/>
      <color indexed="81"/>
      <name val="Tahoma"/>
      <family val="2"/>
    </font>
    <font>
      <b/>
      <i/>
      <sz val="11"/>
      <color indexed="8"/>
      <name val="Calibri"/>
      <family val="2"/>
      <scheme val="minor"/>
    </font>
    <font>
      <b/>
      <i/>
      <sz val="12"/>
      <color rgb="FF222222"/>
      <name val="Calibri"/>
      <family val="2"/>
      <scheme val="minor"/>
    </font>
  </fonts>
  <fills count="27">
    <fill>
      <patternFill patternType="none"/>
    </fill>
    <fill>
      <patternFill patternType="gray125"/>
    </fill>
    <fill>
      <patternFill patternType="solid">
        <fgColor indexed="9"/>
      </patternFill>
    </fill>
    <fill>
      <patternFill patternType="solid">
        <fgColor indexed="47"/>
      </patternFill>
    </fill>
    <fill>
      <patternFill patternType="solid">
        <fgColor indexed="26"/>
      </patternFill>
    </fill>
    <fill>
      <patternFill patternType="solid">
        <fgColor indexed="22"/>
      </patternFill>
    </fill>
    <fill>
      <patternFill patternType="solid">
        <fgColor indexed="43"/>
      </patternFill>
    </fill>
    <fill>
      <patternFill patternType="solid">
        <fgColor indexed="49"/>
      </patternFill>
    </fill>
    <fill>
      <patternFill patternType="solid">
        <fgColor indexed="54"/>
      </patternFill>
    </fill>
    <fill>
      <patternFill patternType="solid">
        <fgColor theme="8" tint="0.79998168889431442"/>
        <bgColor indexed="65"/>
      </patternFill>
    </fill>
    <fill>
      <patternFill patternType="solid">
        <fgColor theme="9" tint="0.79998168889431442"/>
        <bgColor indexed="65"/>
      </patternFill>
    </fill>
    <fill>
      <patternFill patternType="solid">
        <fgColor theme="5" tint="0.59999389629810485"/>
        <bgColor indexed="65"/>
      </patternFill>
    </fill>
    <fill>
      <patternFill patternType="solid">
        <fgColor theme="8" tint="0.59999389629810485"/>
        <bgColor indexed="65"/>
      </patternFill>
    </fill>
    <fill>
      <patternFill patternType="solid">
        <fgColor theme="5" tint="0.39997558519241921"/>
        <bgColor indexed="65"/>
      </patternFill>
    </fill>
    <fill>
      <patternFill patternType="solid">
        <fgColor theme="8" tint="0.39997558519241921"/>
        <bgColor indexed="65"/>
      </patternFill>
    </fill>
    <fill>
      <patternFill patternType="solid">
        <fgColor theme="5"/>
      </patternFill>
    </fill>
    <fill>
      <patternFill patternType="solid">
        <fgColor theme="6"/>
      </patternFill>
    </fill>
    <fill>
      <patternFill patternType="solid">
        <fgColor theme="8"/>
      </patternFill>
    </fill>
    <fill>
      <patternFill patternType="solid">
        <fgColor theme="9"/>
      </patternFill>
    </fill>
    <fill>
      <patternFill patternType="solid">
        <fgColor rgb="FFFFC7CE"/>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4"/>
        <bgColor indexed="64"/>
      </patternFill>
    </fill>
    <fill>
      <patternFill patternType="solid">
        <fgColor theme="4" tint="0.79998168889431442"/>
        <bgColor indexed="64"/>
      </patternFill>
    </fill>
  </fills>
  <borders count="10">
    <border>
      <left/>
      <right/>
      <top/>
      <bottom/>
      <diagonal/>
    </border>
    <border>
      <left/>
      <right/>
      <top/>
      <bottom style="thick">
        <color indexed="49"/>
      </bottom>
      <diagonal/>
    </border>
    <border>
      <left/>
      <right/>
      <top/>
      <bottom style="medium">
        <color indexed="49"/>
      </bottom>
      <diagonal/>
    </border>
    <border>
      <left/>
      <right/>
      <top style="thin">
        <color indexed="49"/>
      </top>
      <bottom style="double">
        <color indexed="49"/>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tint="0.499984740745262"/>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s>
  <cellStyleXfs count="91">
    <xf numFmtId="0" fontId="0" fillId="0" borderId="0"/>
    <xf numFmtId="0" fontId="9" fillId="2" borderId="0" applyNumberFormat="0" applyBorder="0" applyAlignment="0" applyProtection="0"/>
    <xf numFmtId="0" fontId="9" fillId="3" borderId="0" applyNumberFormat="0" applyBorder="0" applyAlignment="0" applyProtection="0"/>
    <xf numFmtId="0" fontId="9" fillId="4" borderId="0" applyNumberFormat="0" applyBorder="0" applyAlignment="0" applyProtection="0"/>
    <xf numFmtId="0" fontId="9" fillId="2"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5" borderId="0" applyNumberFormat="0" applyBorder="0" applyAlignment="0" applyProtection="0"/>
    <xf numFmtId="0" fontId="9" fillId="11" borderId="0" applyNumberFormat="0" applyBorder="0" applyAlignment="0" applyProtection="0"/>
    <xf numFmtId="0" fontId="9" fillId="6" borderId="0" applyNumberFormat="0" applyBorder="0" applyAlignment="0" applyProtection="0"/>
    <xf numFmtId="0" fontId="9" fillId="5" borderId="0" applyNumberFormat="0" applyBorder="0" applyAlignment="0" applyProtection="0"/>
    <xf numFmtId="0" fontId="9" fillId="12" borderId="0" applyNumberFormat="0" applyBorder="0" applyAlignment="0" applyProtection="0"/>
    <xf numFmtId="0" fontId="9" fillId="3" borderId="0" applyNumberFormat="0" applyBorder="0" applyAlignment="0" applyProtection="0"/>
    <xf numFmtId="0" fontId="10" fillId="7" borderId="0" applyNumberFormat="0" applyBorder="0" applyAlignment="0" applyProtection="0"/>
    <xf numFmtId="0" fontId="10" fillId="13" borderId="0" applyNumberFormat="0" applyBorder="0" applyAlignment="0" applyProtection="0"/>
    <xf numFmtId="0" fontId="10" fillId="6" borderId="0" applyNumberFormat="0" applyBorder="0" applyAlignment="0" applyProtection="0"/>
    <xf numFmtId="0" fontId="10" fillId="5" borderId="0" applyNumberFormat="0" applyBorder="0" applyAlignment="0" applyProtection="0"/>
    <xf numFmtId="0" fontId="10" fillId="14" borderId="0" applyNumberFormat="0" applyBorder="0" applyAlignment="0" applyProtection="0"/>
    <xf numFmtId="0" fontId="10" fillId="3" borderId="0" applyNumberFormat="0" applyBorder="0" applyAlignment="0" applyProtection="0"/>
    <xf numFmtId="0" fontId="10" fillId="7"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10" fillId="8"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1" fillId="19" borderId="0" applyNumberFormat="0" applyBorder="0" applyAlignment="0" applyProtection="0"/>
    <xf numFmtId="0" fontId="12" fillId="2" borderId="4" applyNumberFormat="0" applyAlignment="0" applyProtection="0"/>
    <xf numFmtId="0" fontId="13" fillId="20" borderId="5" applyNumberFormat="0" applyAlignment="0" applyProtection="0"/>
    <xf numFmtId="0" fontId="14" fillId="0" borderId="0" applyNumberFormat="0" applyFill="0" applyBorder="0" applyAlignment="0" applyProtection="0"/>
    <xf numFmtId="0" fontId="15" fillId="21" borderId="0" applyNumberFormat="0" applyBorder="0" applyAlignment="0" applyProtection="0"/>
    <xf numFmtId="0" fontId="4" fillId="0" borderId="1" applyNumberFormat="0" applyFill="0" applyAlignment="0" applyProtection="0"/>
    <xf numFmtId="0" fontId="16" fillId="0" borderId="6" applyNumberFormat="0" applyFill="0" applyAlignment="0" applyProtection="0"/>
    <xf numFmtId="0" fontId="5" fillId="0" borderId="2" applyNumberFormat="0" applyFill="0" applyAlignment="0" applyProtection="0"/>
    <xf numFmtId="0" fontId="5" fillId="0" borderId="0" applyNumberFormat="0" applyFill="0" applyBorder="0" applyAlignment="0" applyProtection="0"/>
    <xf numFmtId="0" fontId="17" fillId="22" borderId="4" applyNumberFormat="0" applyAlignment="0" applyProtection="0"/>
    <xf numFmtId="0" fontId="18" fillId="0" borderId="7" applyNumberFormat="0" applyFill="0" applyAlignment="0" applyProtection="0"/>
    <xf numFmtId="0" fontId="19" fillId="23" borderId="0" applyNumberFormat="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8" fillId="0" borderId="0"/>
    <xf numFmtId="0" fontId="9" fillId="0" borderId="0"/>
    <xf numFmtId="0" fontId="9" fillId="0" borderId="0"/>
    <xf numFmtId="0" fontId="9" fillId="0" borderId="0"/>
    <xf numFmtId="0" fontId="9" fillId="0" borderId="0"/>
    <xf numFmtId="0" fontId="8" fillId="0" borderId="0"/>
    <xf numFmtId="0" fontId="8"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 fillId="24" borderId="8" applyNumberFormat="0" applyFont="0" applyAlignment="0" applyProtection="0"/>
    <xf numFmtId="0" fontId="20" fillId="2" borderId="9" applyNumberFormat="0" applyAlignment="0" applyProtection="0"/>
    <xf numFmtId="0" fontId="6" fillId="0" borderId="0" applyNumberFormat="0" applyFill="0" applyBorder="0" applyAlignment="0" applyProtection="0"/>
    <xf numFmtId="0" fontId="21" fillId="0" borderId="3" applyNumberFormat="0" applyFill="0" applyAlignment="0" applyProtection="0"/>
    <xf numFmtId="0" fontId="22" fillId="0" borderId="0" applyNumberFormat="0" applyFill="0" applyBorder="0" applyAlignment="0" applyProtection="0"/>
    <xf numFmtId="0" fontId="30" fillId="0" borderId="0"/>
    <xf numFmtId="0" fontId="33" fillId="0" borderId="0" applyNumberFormat="0" applyFill="0" applyBorder="0" applyAlignment="0" applyProtection="0"/>
  </cellStyleXfs>
  <cellXfs count="31">
    <xf numFmtId="0" fontId="0" fillId="0" borderId="0" xfId="0"/>
    <xf numFmtId="0" fontId="2" fillId="0" borderId="0" xfId="0" applyFont="1" applyAlignment="1">
      <alignment vertical="center"/>
    </xf>
    <xf numFmtId="0" fontId="3" fillId="0" borderId="0" xfId="0" applyFont="1" applyAlignment="1">
      <alignment horizontal="center" vertical="center" wrapText="1"/>
    </xf>
    <xf numFmtId="3" fontId="2" fillId="0" borderId="0" xfId="0" applyNumberFormat="1" applyFont="1" applyAlignment="1">
      <alignment vertical="center"/>
    </xf>
    <xf numFmtId="164" fontId="2" fillId="0" borderId="0" xfId="0" applyNumberFormat="1" applyFont="1" applyAlignment="1">
      <alignment vertical="center"/>
    </xf>
    <xf numFmtId="0" fontId="24" fillId="26" borderId="0" xfId="0" applyFont="1" applyFill="1" applyAlignment="1">
      <alignment horizontal="center" vertical="center" wrapText="1"/>
    </xf>
    <xf numFmtId="165" fontId="25" fillId="0" borderId="0" xfId="0" applyNumberFormat="1" applyFont="1" applyFill="1" applyAlignment="1">
      <alignment vertical="center"/>
    </xf>
    <xf numFmtId="3" fontId="25" fillId="0" borderId="0" xfId="0" applyNumberFormat="1" applyFont="1" applyFill="1" applyAlignment="1">
      <alignment vertical="center"/>
    </xf>
    <xf numFmtId="164" fontId="25" fillId="0" borderId="0" xfId="0" applyNumberFormat="1" applyFont="1" applyFill="1" applyAlignment="1">
      <alignment vertical="center"/>
    </xf>
    <xf numFmtId="0" fontId="26" fillId="0" borderId="0" xfId="0" applyFont="1" applyAlignment="1">
      <alignment vertical="center"/>
    </xf>
    <xf numFmtId="0" fontId="26" fillId="0" borderId="0" xfId="0" applyFont="1" applyAlignment="1">
      <alignment vertical="center" wrapText="1"/>
    </xf>
    <xf numFmtId="0" fontId="28" fillId="0" borderId="0" xfId="0" applyFont="1" applyAlignment="1">
      <alignment vertical="center"/>
    </xf>
    <xf numFmtId="3" fontId="25" fillId="0" borderId="0" xfId="0" applyNumberFormat="1" applyFont="1" applyAlignment="1">
      <alignment vertical="center"/>
    </xf>
    <xf numFmtId="3" fontId="32" fillId="0" borderId="0" xfId="0" quotePrefix="1" applyNumberFormat="1" applyFont="1" applyAlignment="1">
      <alignment vertical="center"/>
    </xf>
    <xf numFmtId="3" fontId="24" fillId="26" borderId="0" xfId="0" applyNumberFormat="1" applyFont="1" applyFill="1" applyAlignment="1">
      <alignment vertical="center"/>
    </xf>
    <xf numFmtId="3" fontId="24" fillId="26" borderId="0" xfId="0" applyNumberFormat="1" applyFont="1" applyFill="1" applyAlignment="1">
      <alignment horizontal="center" vertical="center" wrapText="1"/>
    </xf>
    <xf numFmtId="3" fontId="31" fillId="0" borderId="0" xfId="0" applyNumberFormat="1" applyFont="1" applyAlignment="1">
      <alignment vertical="center"/>
    </xf>
    <xf numFmtId="0" fontId="23" fillId="26" borderId="0" xfId="0" applyFont="1" applyFill="1" applyAlignment="1">
      <alignment horizontal="center" vertical="center"/>
    </xf>
    <xf numFmtId="0" fontId="33" fillId="0" borderId="0" xfId="90"/>
    <xf numFmtId="0" fontId="29" fillId="25" borderId="0" xfId="0" applyFont="1" applyFill="1" applyBorder="1" applyAlignment="1">
      <alignment horizontal="center" vertical="center"/>
    </xf>
    <xf numFmtId="0" fontId="0" fillId="0" borderId="0" xfId="0" applyAlignment="1">
      <alignment horizontal="center" vertical="center"/>
    </xf>
    <xf numFmtId="3" fontId="36" fillId="0" borderId="0" xfId="0" applyNumberFormat="1" applyFont="1" applyAlignment="1">
      <alignment vertical="center"/>
    </xf>
    <xf numFmtId="0" fontId="0" fillId="0" borderId="0" xfId="0" applyAlignment="1">
      <alignment vertical="center"/>
    </xf>
    <xf numFmtId="3" fontId="36" fillId="0" borderId="0" xfId="0" quotePrefix="1" applyNumberFormat="1" applyFont="1" applyAlignment="1">
      <alignment vertical="center"/>
    </xf>
    <xf numFmtId="0" fontId="37" fillId="0" borderId="0" xfId="0" applyFont="1" applyAlignment="1"/>
    <xf numFmtId="0" fontId="0" fillId="0" borderId="0" xfId="0" applyAlignment="1"/>
    <xf numFmtId="0" fontId="24" fillId="26" borderId="0" xfId="0" applyFont="1" applyFill="1" applyAlignment="1">
      <alignment horizontal="center" vertical="center"/>
    </xf>
    <xf numFmtId="0" fontId="24" fillId="26" borderId="0" xfId="0" applyFont="1" applyFill="1" applyAlignment="1">
      <alignment horizontal="center" vertical="center" wrapText="1"/>
    </xf>
    <xf numFmtId="0" fontId="0" fillId="0" borderId="0" xfId="0" applyAlignment="1">
      <alignment horizontal="center" vertical="center" wrapText="1"/>
    </xf>
    <xf numFmtId="0" fontId="27" fillId="25" borderId="0" xfId="0" applyFont="1" applyFill="1" applyBorder="1" applyAlignment="1">
      <alignment horizontal="center" vertical="center"/>
    </xf>
    <xf numFmtId="0" fontId="26" fillId="0" borderId="0" xfId="0" applyFont="1" applyAlignment="1">
      <alignment vertical="center" wrapText="1"/>
    </xf>
  </cellXfs>
  <cellStyles count="91">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Hyperlink" xfId="90" builtinId="8"/>
    <cellStyle name="Input" xfId="34" builtinId="20" customBuiltin="1"/>
    <cellStyle name="Linked Cell" xfId="35" builtinId="24" customBuiltin="1"/>
    <cellStyle name="Neutral" xfId="36" builtinId="28" customBuiltin="1"/>
    <cellStyle name="Normal" xfId="0" builtinId="0"/>
    <cellStyle name="Normal 10" xfId="37"/>
    <cellStyle name="Normal 10 2" xfId="38"/>
    <cellStyle name="Normal 11" xfId="39"/>
    <cellStyle name="Normal 11 2" xfId="40"/>
    <cellStyle name="Normal 12" xfId="41"/>
    <cellStyle name="Normal 12 2" xfId="42"/>
    <cellStyle name="Normal 13" xfId="43"/>
    <cellStyle name="Normal 13 2" xfId="44"/>
    <cellStyle name="Normal 14" xfId="45"/>
    <cellStyle name="Normal 14 2" xfId="46"/>
    <cellStyle name="Normal 15" xfId="47"/>
    <cellStyle name="Normal 15 2" xfId="48"/>
    <cellStyle name="Normal 16" xfId="49"/>
    <cellStyle name="Normal 16 2" xfId="50"/>
    <cellStyle name="Normal 17" xfId="51"/>
    <cellStyle name="Normal 17 2" xfId="52"/>
    <cellStyle name="Normal 18" xfId="53"/>
    <cellStyle name="Normal 18 2" xfId="54"/>
    <cellStyle name="Normal 19" xfId="55"/>
    <cellStyle name="Normal 19 2" xfId="56"/>
    <cellStyle name="Normal 2" xfId="57"/>
    <cellStyle name="Normal 2 2" xfId="58"/>
    <cellStyle name="Normal 2 2 2" xfId="59"/>
    <cellStyle name="Normal 2 3" xfId="60"/>
    <cellStyle name="Normal 20" xfId="61"/>
    <cellStyle name="Normal 20 2" xfId="62"/>
    <cellStyle name="Normal 21" xfId="63"/>
    <cellStyle name="Normal 21 2" xfId="64"/>
    <cellStyle name="Normal 22" xfId="65"/>
    <cellStyle name="Normal 22 2" xfId="66"/>
    <cellStyle name="Normal 22 3" xfId="67"/>
    <cellStyle name="Normal 23" xfId="68"/>
    <cellStyle name="Normal 23 2" xfId="69"/>
    <cellStyle name="Normal 24" xfId="89"/>
    <cellStyle name="Normal 3" xfId="70"/>
    <cellStyle name="Normal 3 2" xfId="71"/>
    <cellStyle name="Normal 4" xfId="72"/>
    <cellStyle name="Normal 4 2" xfId="73"/>
    <cellStyle name="Normal 5" xfId="74"/>
    <cellStyle name="Normal 5 2" xfId="75"/>
    <cellStyle name="Normal 6" xfId="76"/>
    <cellStyle name="Normal 6 2" xfId="77"/>
    <cellStyle name="Normal 7" xfId="78"/>
    <cellStyle name="Normal 7 2" xfId="79"/>
    <cellStyle name="Normal 8" xfId="80"/>
    <cellStyle name="Normal 8 2" xfId="81"/>
    <cellStyle name="Normal 9" xfId="82"/>
    <cellStyle name="Normal 9 2" xfId="83"/>
    <cellStyle name="Note" xfId="84" builtinId="10" customBuiltin="1"/>
    <cellStyle name="Output" xfId="85" builtinId="21" customBuiltin="1"/>
    <cellStyle name="Title" xfId="86" builtinId="15" customBuiltin="1"/>
    <cellStyle name="Total" xfId="87" builtinId="25" customBuiltin="1"/>
    <cellStyle name="Warning Text" xfId="88"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2.xml"/><Relationship Id="rId7" Type="http://schemas.openxmlformats.org/officeDocument/2006/relationships/calcChain" Target="calcChain.xml"/><Relationship Id="rId2" Type="http://schemas.openxmlformats.org/officeDocument/2006/relationships/chartsheet" Target="chartsheets/sheet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000000"/>
                </a:solidFill>
                <a:latin typeface="+mn-lt"/>
                <a:ea typeface="Tahoma"/>
                <a:cs typeface="Tahoma"/>
              </a:defRPr>
            </a:pPr>
            <a:r>
              <a:rPr lang="en-US">
                <a:latin typeface="+mn-lt"/>
              </a:rPr>
              <a:t>Regular Weekly UI Claims in Arizona</a:t>
            </a:r>
          </a:p>
        </c:rich>
      </c:tx>
      <c:overlay val="0"/>
      <c:spPr>
        <a:noFill/>
        <a:ln w="25400">
          <a:noFill/>
        </a:ln>
      </c:spPr>
    </c:title>
    <c:autoTitleDeleted val="0"/>
    <c:plotArea>
      <c:layout>
        <c:manualLayout>
          <c:layoutTarget val="inner"/>
          <c:xMode val="edge"/>
          <c:yMode val="edge"/>
          <c:x val="4.4444444444444446E-2"/>
          <c:y val="0.10784313725490197"/>
          <c:w val="0.87185185185185188"/>
          <c:h val="0.71677559912854028"/>
        </c:manualLayout>
      </c:layout>
      <c:lineChart>
        <c:grouping val="standard"/>
        <c:varyColors val="0"/>
        <c:ser>
          <c:idx val="0"/>
          <c:order val="0"/>
          <c:spPr>
            <a:ln w="38100">
              <a:solidFill>
                <a:schemeClr val="accent1"/>
              </a:solidFill>
              <a:prstDash val="solid"/>
            </a:ln>
          </c:spPr>
          <c:marker>
            <c:symbol val="none"/>
          </c:marker>
          <c:cat>
            <c:numRef>
              <c:f>Report!$A$349:$A$611</c:f>
              <c:numCache>
                <c:formatCode>m/d/yy;@</c:formatCode>
                <c:ptCount val="263"/>
                <c:pt idx="0">
                  <c:v>42280</c:v>
                </c:pt>
                <c:pt idx="1">
                  <c:v>42287</c:v>
                </c:pt>
                <c:pt idx="2">
                  <c:v>42294</c:v>
                </c:pt>
                <c:pt idx="3">
                  <c:v>42301</c:v>
                </c:pt>
                <c:pt idx="4">
                  <c:v>42308</c:v>
                </c:pt>
                <c:pt idx="5">
                  <c:v>42315</c:v>
                </c:pt>
                <c:pt idx="6">
                  <c:v>42322</c:v>
                </c:pt>
                <c:pt idx="7">
                  <c:v>42329</c:v>
                </c:pt>
                <c:pt idx="8">
                  <c:v>42336</c:v>
                </c:pt>
                <c:pt idx="9">
                  <c:v>42343</c:v>
                </c:pt>
                <c:pt idx="10">
                  <c:v>42350</c:v>
                </c:pt>
                <c:pt idx="11">
                  <c:v>42357</c:v>
                </c:pt>
                <c:pt idx="12">
                  <c:v>42364</c:v>
                </c:pt>
                <c:pt idx="13">
                  <c:v>42371</c:v>
                </c:pt>
                <c:pt idx="14">
                  <c:v>42378</c:v>
                </c:pt>
                <c:pt idx="15">
                  <c:v>42385</c:v>
                </c:pt>
                <c:pt idx="16">
                  <c:v>42392</c:v>
                </c:pt>
                <c:pt idx="17">
                  <c:v>42399</c:v>
                </c:pt>
                <c:pt idx="18">
                  <c:v>42406</c:v>
                </c:pt>
                <c:pt idx="19">
                  <c:v>42413</c:v>
                </c:pt>
                <c:pt idx="20">
                  <c:v>42420</c:v>
                </c:pt>
                <c:pt idx="21">
                  <c:v>42427</c:v>
                </c:pt>
                <c:pt idx="22">
                  <c:v>42434</c:v>
                </c:pt>
                <c:pt idx="23">
                  <c:v>42441</c:v>
                </c:pt>
                <c:pt idx="24">
                  <c:v>42448</c:v>
                </c:pt>
                <c:pt idx="25">
                  <c:v>42455</c:v>
                </c:pt>
                <c:pt idx="26">
                  <c:v>42462</c:v>
                </c:pt>
                <c:pt idx="27">
                  <c:v>42469</c:v>
                </c:pt>
                <c:pt idx="28">
                  <c:v>42476</c:v>
                </c:pt>
                <c:pt idx="29">
                  <c:v>42483</c:v>
                </c:pt>
                <c:pt idx="30">
                  <c:v>42490</c:v>
                </c:pt>
                <c:pt idx="31">
                  <c:v>42497</c:v>
                </c:pt>
                <c:pt idx="32">
                  <c:v>42504</c:v>
                </c:pt>
                <c:pt idx="33">
                  <c:v>42511</c:v>
                </c:pt>
                <c:pt idx="34">
                  <c:v>42518</c:v>
                </c:pt>
                <c:pt idx="35">
                  <c:v>42525</c:v>
                </c:pt>
                <c:pt idx="36">
                  <c:v>42532</c:v>
                </c:pt>
                <c:pt idx="37">
                  <c:v>42539</c:v>
                </c:pt>
                <c:pt idx="38">
                  <c:v>42546</c:v>
                </c:pt>
                <c:pt idx="39">
                  <c:v>42553</c:v>
                </c:pt>
                <c:pt idx="40">
                  <c:v>42560</c:v>
                </c:pt>
                <c:pt idx="41">
                  <c:v>42567</c:v>
                </c:pt>
                <c:pt idx="42">
                  <c:v>42574</c:v>
                </c:pt>
                <c:pt idx="43">
                  <c:v>42581</c:v>
                </c:pt>
                <c:pt idx="44">
                  <c:v>42588</c:v>
                </c:pt>
                <c:pt idx="45">
                  <c:v>42595</c:v>
                </c:pt>
                <c:pt idx="46">
                  <c:v>42602</c:v>
                </c:pt>
                <c:pt idx="47">
                  <c:v>42609</c:v>
                </c:pt>
                <c:pt idx="48">
                  <c:v>42616</c:v>
                </c:pt>
                <c:pt idx="49">
                  <c:v>42623</c:v>
                </c:pt>
                <c:pt idx="50">
                  <c:v>42630</c:v>
                </c:pt>
                <c:pt idx="51">
                  <c:v>42637</c:v>
                </c:pt>
                <c:pt idx="52">
                  <c:v>42644</c:v>
                </c:pt>
                <c:pt idx="53">
                  <c:v>42651</c:v>
                </c:pt>
                <c:pt idx="54">
                  <c:v>42658</c:v>
                </c:pt>
                <c:pt idx="55">
                  <c:v>42665</c:v>
                </c:pt>
                <c:pt idx="56">
                  <c:v>42672</c:v>
                </c:pt>
                <c:pt idx="57">
                  <c:v>42679</c:v>
                </c:pt>
                <c:pt idx="58">
                  <c:v>42686</c:v>
                </c:pt>
                <c:pt idx="59">
                  <c:v>42693</c:v>
                </c:pt>
                <c:pt idx="60">
                  <c:v>42700</c:v>
                </c:pt>
                <c:pt idx="61">
                  <c:v>42707</c:v>
                </c:pt>
                <c:pt idx="62">
                  <c:v>42714</c:v>
                </c:pt>
                <c:pt idx="63">
                  <c:v>42721</c:v>
                </c:pt>
                <c:pt idx="64">
                  <c:v>42728</c:v>
                </c:pt>
                <c:pt idx="65">
                  <c:v>42735</c:v>
                </c:pt>
                <c:pt idx="66">
                  <c:v>42742</c:v>
                </c:pt>
                <c:pt idx="67">
                  <c:v>42749</c:v>
                </c:pt>
                <c:pt idx="68">
                  <c:v>42756</c:v>
                </c:pt>
                <c:pt idx="69">
                  <c:v>42763</c:v>
                </c:pt>
                <c:pt idx="70">
                  <c:v>42770</c:v>
                </c:pt>
                <c:pt idx="71">
                  <c:v>42777</c:v>
                </c:pt>
                <c:pt idx="72">
                  <c:v>42784</c:v>
                </c:pt>
                <c:pt idx="73">
                  <c:v>42791</c:v>
                </c:pt>
                <c:pt idx="74">
                  <c:v>42798</c:v>
                </c:pt>
                <c:pt idx="75">
                  <c:v>42805</c:v>
                </c:pt>
                <c:pt idx="76">
                  <c:v>42812</c:v>
                </c:pt>
                <c:pt idx="77">
                  <c:v>42819</c:v>
                </c:pt>
                <c:pt idx="78">
                  <c:v>42826</c:v>
                </c:pt>
                <c:pt idx="79">
                  <c:v>42833</c:v>
                </c:pt>
                <c:pt idx="80">
                  <c:v>42840</c:v>
                </c:pt>
                <c:pt idx="81">
                  <c:v>42847</c:v>
                </c:pt>
                <c:pt idx="82">
                  <c:v>42854</c:v>
                </c:pt>
                <c:pt idx="83">
                  <c:v>42861</c:v>
                </c:pt>
                <c:pt idx="84">
                  <c:v>42868</c:v>
                </c:pt>
                <c:pt idx="85">
                  <c:v>42875</c:v>
                </c:pt>
                <c:pt idx="86">
                  <c:v>42882</c:v>
                </c:pt>
                <c:pt idx="87">
                  <c:v>42889</c:v>
                </c:pt>
                <c:pt idx="88">
                  <c:v>42896</c:v>
                </c:pt>
                <c:pt idx="89">
                  <c:v>42903</c:v>
                </c:pt>
                <c:pt idx="90">
                  <c:v>42910</c:v>
                </c:pt>
                <c:pt idx="91">
                  <c:v>42917</c:v>
                </c:pt>
                <c:pt idx="92">
                  <c:v>42924</c:v>
                </c:pt>
                <c:pt idx="93">
                  <c:v>42931</c:v>
                </c:pt>
                <c:pt idx="94">
                  <c:v>42938</c:v>
                </c:pt>
                <c:pt idx="95">
                  <c:v>42945</c:v>
                </c:pt>
                <c:pt idx="96">
                  <c:v>42952</c:v>
                </c:pt>
                <c:pt idx="97">
                  <c:v>42959</c:v>
                </c:pt>
                <c:pt idx="98">
                  <c:v>42966</c:v>
                </c:pt>
                <c:pt idx="99">
                  <c:v>42973</c:v>
                </c:pt>
                <c:pt idx="100">
                  <c:v>42980</c:v>
                </c:pt>
                <c:pt idx="101">
                  <c:v>42987</c:v>
                </c:pt>
                <c:pt idx="102">
                  <c:v>42994</c:v>
                </c:pt>
                <c:pt idx="103">
                  <c:v>43001</c:v>
                </c:pt>
                <c:pt idx="104">
                  <c:v>43008</c:v>
                </c:pt>
                <c:pt idx="105">
                  <c:v>43015</c:v>
                </c:pt>
                <c:pt idx="106">
                  <c:v>43022</c:v>
                </c:pt>
                <c:pt idx="107">
                  <c:v>43029</c:v>
                </c:pt>
                <c:pt idx="108">
                  <c:v>43036</c:v>
                </c:pt>
                <c:pt idx="109">
                  <c:v>43043</c:v>
                </c:pt>
                <c:pt idx="110">
                  <c:v>43050</c:v>
                </c:pt>
                <c:pt idx="111">
                  <c:v>43057</c:v>
                </c:pt>
                <c:pt idx="112">
                  <c:v>43064</c:v>
                </c:pt>
                <c:pt idx="113">
                  <c:v>43071</c:v>
                </c:pt>
                <c:pt idx="114">
                  <c:v>43078</c:v>
                </c:pt>
                <c:pt idx="115">
                  <c:v>43085</c:v>
                </c:pt>
                <c:pt idx="116">
                  <c:v>43092</c:v>
                </c:pt>
                <c:pt idx="117">
                  <c:v>43099</c:v>
                </c:pt>
                <c:pt idx="118">
                  <c:v>43106</c:v>
                </c:pt>
                <c:pt idx="119">
                  <c:v>43113</c:v>
                </c:pt>
                <c:pt idx="120">
                  <c:v>43120</c:v>
                </c:pt>
                <c:pt idx="121">
                  <c:v>43127</c:v>
                </c:pt>
                <c:pt idx="122">
                  <c:v>43134</c:v>
                </c:pt>
                <c:pt idx="123">
                  <c:v>43141</c:v>
                </c:pt>
                <c:pt idx="124">
                  <c:v>43148</c:v>
                </c:pt>
                <c:pt idx="125">
                  <c:v>43155</c:v>
                </c:pt>
                <c:pt idx="126">
                  <c:v>43162</c:v>
                </c:pt>
                <c:pt idx="127">
                  <c:v>43169</c:v>
                </c:pt>
                <c:pt idx="128">
                  <c:v>43176</c:v>
                </c:pt>
                <c:pt idx="129">
                  <c:v>43183</c:v>
                </c:pt>
                <c:pt idx="130">
                  <c:v>43190</c:v>
                </c:pt>
                <c:pt idx="131">
                  <c:v>43197</c:v>
                </c:pt>
                <c:pt idx="132">
                  <c:v>43204</c:v>
                </c:pt>
                <c:pt idx="133">
                  <c:v>43211</c:v>
                </c:pt>
                <c:pt idx="134">
                  <c:v>43218</c:v>
                </c:pt>
                <c:pt idx="135">
                  <c:v>43225</c:v>
                </c:pt>
                <c:pt idx="136">
                  <c:v>43232</c:v>
                </c:pt>
                <c:pt idx="137">
                  <c:v>43239</c:v>
                </c:pt>
                <c:pt idx="138">
                  <c:v>43246</c:v>
                </c:pt>
                <c:pt idx="139">
                  <c:v>43253</c:v>
                </c:pt>
                <c:pt idx="140">
                  <c:v>43260</c:v>
                </c:pt>
                <c:pt idx="141">
                  <c:v>43267</c:v>
                </c:pt>
                <c:pt idx="142">
                  <c:v>43274</c:v>
                </c:pt>
                <c:pt idx="143">
                  <c:v>43281</c:v>
                </c:pt>
                <c:pt idx="144">
                  <c:v>43288</c:v>
                </c:pt>
                <c:pt idx="145">
                  <c:v>43295</c:v>
                </c:pt>
                <c:pt idx="146">
                  <c:v>43302</c:v>
                </c:pt>
                <c:pt idx="147">
                  <c:v>43309</c:v>
                </c:pt>
                <c:pt idx="148">
                  <c:v>43316</c:v>
                </c:pt>
                <c:pt idx="149">
                  <c:v>43323</c:v>
                </c:pt>
                <c:pt idx="150">
                  <c:v>43330</c:v>
                </c:pt>
                <c:pt idx="151">
                  <c:v>43337</c:v>
                </c:pt>
                <c:pt idx="152">
                  <c:v>43344</c:v>
                </c:pt>
                <c:pt idx="153">
                  <c:v>43351</c:v>
                </c:pt>
                <c:pt idx="154">
                  <c:v>43358</c:v>
                </c:pt>
                <c:pt idx="155">
                  <c:v>43365</c:v>
                </c:pt>
                <c:pt idx="156">
                  <c:v>43372</c:v>
                </c:pt>
                <c:pt idx="157">
                  <c:v>43379</c:v>
                </c:pt>
                <c:pt idx="158">
                  <c:v>43386</c:v>
                </c:pt>
                <c:pt idx="159">
                  <c:v>43393</c:v>
                </c:pt>
                <c:pt idx="160">
                  <c:v>43400</c:v>
                </c:pt>
                <c:pt idx="161">
                  <c:v>43407</c:v>
                </c:pt>
                <c:pt idx="162">
                  <c:v>43414</c:v>
                </c:pt>
                <c:pt idx="163">
                  <c:v>43421</c:v>
                </c:pt>
                <c:pt idx="164">
                  <c:v>43428</c:v>
                </c:pt>
                <c:pt idx="165">
                  <c:v>43435</c:v>
                </c:pt>
                <c:pt idx="166">
                  <c:v>43442</c:v>
                </c:pt>
                <c:pt idx="167">
                  <c:v>43449</c:v>
                </c:pt>
                <c:pt idx="168">
                  <c:v>43456</c:v>
                </c:pt>
                <c:pt idx="169">
                  <c:v>43463</c:v>
                </c:pt>
                <c:pt idx="170">
                  <c:v>43470</c:v>
                </c:pt>
                <c:pt idx="171">
                  <c:v>43477</c:v>
                </c:pt>
                <c:pt idx="172">
                  <c:v>43484</c:v>
                </c:pt>
                <c:pt idx="173">
                  <c:v>43491</c:v>
                </c:pt>
                <c:pt idx="174">
                  <c:v>43498</c:v>
                </c:pt>
                <c:pt idx="175">
                  <c:v>43505</c:v>
                </c:pt>
                <c:pt idx="176">
                  <c:v>43512</c:v>
                </c:pt>
                <c:pt idx="177">
                  <c:v>43519</c:v>
                </c:pt>
                <c:pt idx="178">
                  <c:v>43526</c:v>
                </c:pt>
                <c:pt idx="179">
                  <c:v>43533</c:v>
                </c:pt>
                <c:pt idx="180">
                  <c:v>43540</c:v>
                </c:pt>
                <c:pt idx="181">
                  <c:v>43547</c:v>
                </c:pt>
                <c:pt idx="182">
                  <c:v>43554</c:v>
                </c:pt>
                <c:pt idx="183">
                  <c:v>43561</c:v>
                </c:pt>
                <c:pt idx="184">
                  <c:v>43568</c:v>
                </c:pt>
                <c:pt idx="185">
                  <c:v>43575</c:v>
                </c:pt>
                <c:pt idx="186">
                  <c:v>43582</c:v>
                </c:pt>
                <c:pt idx="187">
                  <c:v>43589</c:v>
                </c:pt>
                <c:pt idx="188">
                  <c:v>43596</c:v>
                </c:pt>
                <c:pt idx="189">
                  <c:v>43603</c:v>
                </c:pt>
                <c:pt idx="190">
                  <c:v>43610</c:v>
                </c:pt>
                <c:pt idx="191">
                  <c:v>43617</c:v>
                </c:pt>
                <c:pt idx="192">
                  <c:v>43624</c:v>
                </c:pt>
                <c:pt idx="193">
                  <c:v>43631</c:v>
                </c:pt>
                <c:pt idx="194">
                  <c:v>43638</c:v>
                </c:pt>
                <c:pt idx="195">
                  <c:v>43645</c:v>
                </c:pt>
                <c:pt idx="196">
                  <c:v>43652</c:v>
                </c:pt>
                <c:pt idx="197">
                  <c:v>43659</c:v>
                </c:pt>
                <c:pt idx="198">
                  <c:v>43666</c:v>
                </c:pt>
                <c:pt idx="199">
                  <c:v>43673</c:v>
                </c:pt>
                <c:pt idx="200">
                  <c:v>43680</c:v>
                </c:pt>
                <c:pt idx="201">
                  <c:v>43687</c:v>
                </c:pt>
                <c:pt idx="202">
                  <c:v>43694</c:v>
                </c:pt>
                <c:pt idx="203">
                  <c:v>43701</c:v>
                </c:pt>
                <c:pt idx="204">
                  <c:v>43708</c:v>
                </c:pt>
                <c:pt idx="205">
                  <c:v>43715</c:v>
                </c:pt>
                <c:pt idx="206">
                  <c:v>43722</c:v>
                </c:pt>
                <c:pt idx="207">
                  <c:v>43729</c:v>
                </c:pt>
                <c:pt idx="208">
                  <c:v>43736</c:v>
                </c:pt>
                <c:pt idx="209">
                  <c:v>43743</c:v>
                </c:pt>
                <c:pt idx="210">
                  <c:v>43750</c:v>
                </c:pt>
                <c:pt idx="211">
                  <c:v>43757</c:v>
                </c:pt>
                <c:pt idx="212">
                  <c:v>43764</c:v>
                </c:pt>
                <c:pt idx="213">
                  <c:v>43771</c:v>
                </c:pt>
                <c:pt idx="214">
                  <c:v>43778</c:v>
                </c:pt>
                <c:pt idx="215">
                  <c:v>43785</c:v>
                </c:pt>
                <c:pt idx="216">
                  <c:v>43792</c:v>
                </c:pt>
                <c:pt idx="217">
                  <c:v>43799</c:v>
                </c:pt>
                <c:pt idx="218">
                  <c:v>43806</c:v>
                </c:pt>
                <c:pt idx="219">
                  <c:v>43813</c:v>
                </c:pt>
                <c:pt idx="220">
                  <c:v>43820</c:v>
                </c:pt>
                <c:pt idx="221">
                  <c:v>43827</c:v>
                </c:pt>
                <c:pt idx="222">
                  <c:v>43834</c:v>
                </c:pt>
                <c:pt idx="223">
                  <c:v>43841</c:v>
                </c:pt>
                <c:pt idx="224">
                  <c:v>43848</c:v>
                </c:pt>
                <c:pt idx="225">
                  <c:v>43855</c:v>
                </c:pt>
                <c:pt idx="226">
                  <c:v>43862</c:v>
                </c:pt>
                <c:pt idx="227">
                  <c:v>43869</c:v>
                </c:pt>
                <c:pt idx="228">
                  <c:v>43876</c:v>
                </c:pt>
                <c:pt idx="229">
                  <c:v>43883</c:v>
                </c:pt>
                <c:pt idx="230">
                  <c:v>43890</c:v>
                </c:pt>
                <c:pt idx="231">
                  <c:v>43897</c:v>
                </c:pt>
                <c:pt idx="232">
                  <c:v>43904</c:v>
                </c:pt>
                <c:pt idx="233">
                  <c:v>43911</c:v>
                </c:pt>
                <c:pt idx="234">
                  <c:v>43918</c:v>
                </c:pt>
                <c:pt idx="235">
                  <c:v>43925</c:v>
                </c:pt>
                <c:pt idx="236">
                  <c:v>43932</c:v>
                </c:pt>
                <c:pt idx="237">
                  <c:v>43939</c:v>
                </c:pt>
                <c:pt idx="238">
                  <c:v>43946</c:v>
                </c:pt>
                <c:pt idx="239">
                  <c:v>43953</c:v>
                </c:pt>
                <c:pt idx="240">
                  <c:v>43960</c:v>
                </c:pt>
                <c:pt idx="241">
                  <c:v>43967</c:v>
                </c:pt>
                <c:pt idx="242">
                  <c:v>43974</c:v>
                </c:pt>
                <c:pt idx="243">
                  <c:v>43981</c:v>
                </c:pt>
                <c:pt idx="244">
                  <c:v>43988</c:v>
                </c:pt>
                <c:pt idx="245">
                  <c:v>43995</c:v>
                </c:pt>
                <c:pt idx="246">
                  <c:v>44002</c:v>
                </c:pt>
                <c:pt idx="247">
                  <c:v>44009</c:v>
                </c:pt>
                <c:pt idx="248">
                  <c:v>44016</c:v>
                </c:pt>
                <c:pt idx="249">
                  <c:v>44023</c:v>
                </c:pt>
                <c:pt idx="250">
                  <c:v>44030</c:v>
                </c:pt>
                <c:pt idx="251">
                  <c:v>44037</c:v>
                </c:pt>
                <c:pt idx="252">
                  <c:v>44044</c:v>
                </c:pt>
                <c:pt idx="253">
                  <c:v>44051</c:v>
                </c:pt>
                <c:pt idx="254">
                  <c:v>44058</c:v>
                </c:pt>
                <c:pt idx="255">
                  <c:v>44065</c:v>
                </c:pt>
                <c:pt idx="256">
                  <c:v>44072</c:v>
                </c:pt>
                <c:pt idx="257">
                  <c:v>44079</c:v>
                </c:pt>
                <c:pt idx="258">
                  <c:v>44086</c:v>
                </c:pt>
                <c:pt idx="259">
                  <c:v>44093</c:v>
                </c:pt>
                <c:pt idx="260">
                  <c:v>44100</c:v>
                </c:pt>
                <c:pt idx="261">
                  <c:v>44107</c:v>
                </c:pt>
                <c:pt idx="262">
                  <c:v>44114</c:v>
                </c:pt>
              </c:numCache>
            </c:numRef>
          </c:cat>
          <c:val>
            <c:numRef>
              <c:f>Report!$C$349:$C$611</c:f>
              <c:numCache>
                <c:formatCode>#,##0</c:formatCode>
                <c:ptCount val="263"/>
                <c:pt idx="0">
                  <c:v>32529</c:v>
                </c:pt>
                <c:pt idx="1">
                  <c:v>31105</c:v>
                </c:pt>
                <c:pt idx="2">
                  <c:v>30606</c:v>
                </c:pt>
                <c:pt idx="3">
                  <c:v>30526</c:v>
                </c:pt>
                <c:pt idx="4">
                  <c:v>29444</c:v>
                </c:pt>
                <c:pt idx="5">
                  <c:v>29144</c:v>
                </c:pt>
                <c:pt idx="6">
                  <c:v>28069</c:v>
                </c:pt>
                <c:pt idx="7">
                  <c:v>28102</c:v>
                </c:pt>
                <c:pt idx="8">
                  <c:v>26218</c:v>
                </c:pt>
                <c:pt idx="9">
                  <c:v>27792</c:v>
                </c:pt>
                <c:pt idx="10">
                  <c:v>26491</c:v>
                </c:pt>
                <c:pt idx="11">
                  <c:v>26797</c:v>
                </c:pt>
                <c:pt idx="12">
                  <c:v>25321</c:v>
                </c:pt>
                <c:pt idx="13">
                  <c:v>26978</c:v>
                </c:pt>
                <c:pt idx="14">
                  <c:v>27572</c:v>
                </c:pt>
                <c:pt idx="15">
                  <c:v>27794</c:v>
                </c:pt>
                <c:pt idx="16">
                  <c:v>27089</c:v>
                </c:pt>
                <c:pt idx="17">
                  <c:v>27908</c:v>
                </c:pt>
                <c:pt idx="18">
                  <c:v>27270</c:v>
                </c:pt>
                <c:pt idx="19">
                  <c:v>27383</c:v>
                </c:pt>
                <c:pt idx="20">
                  <c:v>26726</c:v>
                </c:pt>
                <c:pt idx="21">
                  <c:v>27050</c:v>
                </c:pt>
                <c:pt idx="22">
                  <c:v>26439</c:v>
                </c:pt>
                <c:pt idx="23">
                  <c:v>26504</c:v>
                </c:pt>
                <c:pt idx="24">
                  <c:v>26230</c:v>
                </c:pt>
                <c:pt idx="25">
                  <c:v>26138</c:v>
                </c:pt>
                <c:pt idx="26">
                  <c:v>26281</c:v>
                </c:pt>
                <c:pt idx="27">
                  <c:v>26670</c:v>
                </c:pt>
                <c:pt idx="28">
                  <c:v>28940</c:v>
                </c:pt>
                <c:pt idx="29">
                  <c:v>30693</c:v>
                </c:pt>
                <c:pt idx="30">
                  <c:v>32257</c:v>
                </c:pt>
                <c:pt idx="31">
                  <c:v>32936</c:v>
                </c:pt>
                <c:pt idx="32">
                  <c:v>32694</c:v>
                </c:pt>
                <c:pt idx="33">
                  <c:v>33215</c:v>
                </c:pt>
                <c:pt idx="34">
                  <c:v>32788</c:v>
                </c:pt>
                <c:pt idx="35">
                  <c:v>33380</c:v>
                </c:pt>
                <c:pt idx="36">
                  <c:v>34011</c:v>
                </c:pt>
                <c:pt idx="37">
                  <c:v>34864</c:v>
                </c:pt>
                <c:pt idx="38">
                  <c:v>34531</c:v>
                </c:pt>
                <c:pt idx="39">
                  <c:v>35311</c:v>
                </c:pt>
                <c:pt idx="40">
                  <c:v>34936</c:v>
                </c:pt>
                <c:pt idx="41">
                  <c:v>37909</c:v>
                </c:pt>
                <c:pt idx="42">
                  <c:v>38219</c:v>
                </c:pt>
                <c:pt idx="43">
                  <c:v>38677</c:v>
                </c:pt>
                <c:pt idx="44">
                  <c:v>37920</c:v>
                </c:pt>
                <c:pt idx="45">
                  <c:v>37502</c:v>
                </c:pt>
                <c:pt idx="46">
                  <c:v>36800</c:v>
                </c:pt>
                <c:pt idx="47">
                  <c:v>35837</c:v>
                </c:pt>
                <c:pt idx="48">
                  <c:v>34579</c:v>
                </c:pt>
                <c:pt idx="49">
                  <c:v>32936</c:v>
                </c:pt>
                <c:pt idx="50">
                  <c:v>32456</c:v>
                </c:pt>
                <c:pt idx="51">
                  <c:v>31343</c:v>
                </c:pt>
                <c:pt idx="52">
                  <c:v>30668</c:v>
                </c:pt>
                <c:pt idx="53">
                  <c:v>29555</c:v>
                </c:pt>
                <c:pt idx="54">
                  <c:v>29134</c:v>
                </c:pt>
                <c:pt idx="55">
                  <c:v>29155</c:v>
                </c:pt>
                <c:pt idx="56">
                  <c:v>28652</c:v>
                </c:pt>
                <c:pt idx="57">
                  <c:v>27985</c:v>
                </c:pt>
                <c:pt idx="58">
                  <c:v>25764</c:v>
                </c:pt>
                <c:pt idx="59">
                  <c:v>28057</c:v>
                </c:pt>
                <c:pt idx="60">
                  <c:v>24860</c:v>
                </c:pt>
                <c:pt idx="61">
                  <c:v>26283</c:v>
                </c:pt>
                <c:pt idx="62">
                  <c:v>24944</c:v>
                </c:pt>
                <c:pt idx="63">
                  <c:v>25608</c:v>
                </c:pt>
                <c:pt idx="64">
                  <c:v>24875</c:v>
                </c:pt>
                <c:pt idx="65">
                  <c:v>25430</c:v>
                </c:pt>
                <c:pt idx="66">
                  <c:v>25244</c:v>
                </c:pt>
                <c:pt idx="67">
                  <c:v>26033</c:v>
                </c:pt>
                <c:pt idx="68">
                  <c:v>25912</c:v>
                </c:pt>
                <c:pt idx="69">
                  <c:v>25994</c:v>
                </c:pt>
                <c:pt idx="70">
                  <c:v>25502</c:v>
                </c:pt>
                <c:pt idx="71">
                  <c:v>25778</c:v>
                </c:pt>
                <c:pt idx="72">
                  <c:v>25961</c:v>
                </c:pt>
                <c:pt idx="73">
                  <c:v>25299</c:v>
                </c:pt>
                <c:pt idx="74">
                  <c:v>25149</c:v>
                </c:pt>
                <c:pt idx="75">
                  <c:v>25006</c:v>
                </c:pt>
                <c:pt idx="76">
                  <c:v>24402</c:v>
                </c:pt>
                <c:pt idx="77">
                  <c:v>24300</c:v>
                </c:pt>
                <c:pt idx="78">
                  <c:v>24321</c:v>
                </c:pt>
                <c:pt idx="79">
                  <c:v>24510</c:v>
                </c:pt>
                <c:pt idx="80">
                  <c:v>25968</c:v>
                </c:pt>
                <c:pt idx="81">
                  <c:v>27879</c:v>
                </c:pt>
                <c:pt idx="82">
                  <c:v>29098</c:v>
                </c:pt>
                <c:pt idx="83">
                  <c:v>30094</c:v>
                </c:pt>
                <c:pt idx="84">
                  <c:v>29416</c:v>
                </c:pt>
                <c:pt idx="85">
                  <c:v>30320</c:v>
                </c:pt>
                <c:pt idx="86">
                  <c:v>29457</c:v>
                </c:pt>
                <c:pt idx="87">
                  <c:v>29366</c:v>
                </c:pt>
                <c:pt idx="88">
                  <c:v>30215</c:v>
                </c:pt>
                <c:pt idx="89">
                  <c:v>30703</c:v>
                </c:pt>
                <c:pt idx="90">
                  <c:v>30913</c:v>
                </c:pt>
                <c:pt idx="91">
                  <c:v>31638</c:v>
                </c:pt>
                <c:pt idx="92">
                  <c:v>31145</c:v>
                </c:pt>
                <c:pt idx="93">
                  <c:v>34178</c:v>
                </c:pt>
                <c:pt idx="94">
                  <c:v>34213</c:v>
                </c:pt>
                <c:pt idx="95">
                  <c:v>35068</c:v>
                </c:pt>
                <c:pt idx="96">
                  <c:v>34653</c:v>
                </c:pt>
                <c:pt idx="97">
                  <c:v>34329</c:v>
                </c:pt>
                <c:pt idx="98">
                  <c:v>33451</c:v>
                </c:pt>
                <c:pt idx="99">
                  <c:v>33056</c:v>
                </c:pt>
                <c:pt idx="100">
                  <c:v>31730</c:v>
                </c:pt>
                <c:pt idx="101">
                  <c:v>30376</c:v>
                </c:pt>
                <c:pt idx="102">
                  <c:v>29534</c:v>
                </c:pt>
                <c:pt idx="103">
                  <c:v>28688</c:v>
                </c:pt>
                <c:pt idx="104">
                  <c:v>27707</c:v>
                </c:pt>
                <c:pt idx="105">
                  <c:v>27229</c:v>
                </c:pt>
                <c:pt idx="106">
                  <c:v>26374</c:v>
                </c:pt>
                <c:pt idx="107">
                  <c:v>26206</c:v>
                </c:pt>
                <c:pt idx="108">
                  <c:v>25482</c:v>
                </c:pt>
                <c:pt idx="109">
                  <c:v>24756</c:v>
                </c:pt>
                <c:pt idx="110">
                  <c:v>22932</c:v>
                </c:pt>
                <c:pt idx="111">
                  <c:v>25027</c:v>
                </c:pt>
                <c:pt idx="112">
                  <c:v>21907</c:v>
                </c:pt>
                <c:pt idx="113">
                  <c:v>23026</c:v>
                </c:pt>
                <c:pt idx="114">
                  <c:v>21848</c:v>
                </c:pt>
                <c:pt idx="115">
                  <c:v>22497</c:v>
                </c:pt>
                <c:pt idx="116">
                  <c:v>21673</c:v>
                </c:pt>
                <c:pt idx="117">
                  <c:v>21706</c:v>
                </c:pt>
                <c:pt idx="118">
                  <c:v>22035</c:v>
                </c:pt>
                <c:pt idx="119">
                  <c:v>22503</c:v>
                </c:pt>
                <c:pt idx="120">
                  <c:v>21984</c:v>
                </c:pt>
                <c:pt idx="121">
                  <c:v>22637</c:v>
                </c:pt>
                <c:pt idx="122">
                  <c:v>22328</c:v>
                </c:pt>
                <c:pt idx="123">
                  <c:v>22559</c:v>
                </c:pt>
                <c:pt idx="124">
                  <c:v>22572</c:v>
                </c:pt>
                <c:pt idx="125">
                  <c:v>22408</c:v>
                </c:pt>
                <c:pt idx="126">
                  <c:v>21868</c:v>
                </c:pt>
                <c:pt idx="127">
                  <c:v>22037</c:v>
                </c:pt>
                <c:pt idx="128">
                  <c:v>21497</c:v>
                </c:pt>
                <c:pt idx="129">
                  <c:v>21951</c:v>
                </c:pt>
                <c:pt idx="130">
                  <c:v>21642</c:v>
                </c:pt>
                <c:pt idx="131">
                  <c:v>21709</c:v>
                </c:pt>
                <c:pt idx="132">
                  <c:v>22970</c:v>
                </c:pt>
                <c:pt idx="133">
                  <c:v>24835</c:v>
                </c:pt>
                <c:pt idx="134">
                  <c:v>26390</c:v>
                </c:pt>
                <c:pt idx="135">
                  <c:v>27398</c:v>
                </c:pt>
                <c:pt idx="136">
                  <c:v>27257</c:v>
                </c:pt>
                <c:pt idx="137">
                  <c:v>27631</c:v>
                </c:pt>
                <c:pt idx="138">
                  <c:v>27506</c:v>
                </c:pt>
                <c:pt idx="139">
                  <c:v>27716</c:v>
                </c:pt>
                <c:pt idx="140">
                  <c:v>27928</c:v>
                </c:pt>
                <c:pt idx="141">
                  <c:v>28555</c:v>
                </c:pt>
                <c:pt idx="142">
                  <c:v>28321</c:v>
                </c:pt>
                <c:pt idx="143">
                  <c:v>29042</c:v>
                </c:pt>
                <c:pt idx="144">
                  <c:v>28896</c:v>
                </c:pt>
                <c:pt idx="145">
                  <c:v>31210</c:v>
                </c:pt>
                <c:pt idx="146">
                  <c:v>31670</c:v>
                </c:pt>
                <c:pt idx="147">
                  <c:v>32241</c:v>
                </c:pt>
                <c:pt idx="148">
                  <c:v>31764</c:v>
                </c:pt>
                <c:pt idx="149">
                  <c:v>31366</c:v>
                </c:pt>
                <c:pt idx="150">
                  <c:v>30477</c:v>
                </c:pt>
                <c:pt idx="151">
                  <c:v>30176</c:v>
                </c:pt>
                <c:pt idx="152">
                  <c:v>28846</c:v>
                </c:pt>
                <c:pt idx="153">
                  <c:v>27711</c:v>
                </c:pt>
                <c:pt idx="154">
                  <c:v>26624</c:v>
                </c:pt>
                <c:pt idx="155">
                  <c:v>26035</c:v>
                </c:pt>
                <c:pt idx="156">
                  <c:v>25212</c:v>
                </c:pt>
                <c:pt idx="157">
                  <c:v>24459</c:v>
                </c:pt>
                <c:pt idx="158">
                  <c:v>23767</c:v>
                </c:pt>
                <c:pt idx="159">
                  <c:v>23616</c:v>
                </c:pt>
                <c:pt idx="160">
                  <c:v>22679</c:v>
                </c:pt>
                <c:pt idx="161">
                  <c:v>22101</c:v>
                </c:pt>
                <c:pt idx="162">
                  <c:v>21715</c:v>
                </c:pt>
                <c:pt idx="163">
                  <c:v>20873</c:v>
                </c:pt>
                <c:pt idx="164">
                  <c:v>19444</c:v>
                </c:pt>
                <c:pt idx="165">
                  <c:v>20107</c:v>
                </c:pt>
                <c:pt idx="166">
                  <c:v>19143</c:v>
                </c:pt>
                <c:pt idx="167">
                  <c:v>19295</c:v>
                </c:pt>
                <c:pt idx="168">
                  <c:v>19118</c:v>
                </c:pt>
                <c:pt idx="169">
                  <c:v>18772</c:v>
                </c:pt>
                <c:pt idx="170">
                  <c:v>19239</c:v>
                </c:pt>
                <c:pt idx="171">
                  <c:v>19360</c:v>
                </c:pt>
                <c:pt idx="172">
                  <c:v>19296</c:v>
                </c:pt>
                <c:pt idx="173">
                  <c:v>19580</c:v>
                </c:pt>
                <c:pt idx="174">
                  <c:v>19553</c:v>
                </c:pt>
                <c:pt idx="175">
                  <c:v>19595</c:v>
                </c:pt>
                <c:pt idx="176">
                  <c:v>19634</c:v>
                </c:pt>
                <c:pt idx="177">
                  <c:v>19363</c:v>
                </c:pt>
                <c:pt idx="178">
                  <c:v>19231</c:v>
                </c:pt>
                <c:pt idx="179">
                  <c:v>19057</c:v>
                </c:pt>
                <c:pt idx="180">
                  <c:v>19088</c:v>
                </c:pt>
                <c:pt idx="181">
                  <c:v>18987</c:v>
                </c:pt>
                <c:pt idx="182">
                  <c:v>19112</c:v>
                </c:pt>
                <c:pt idx="183">
                  <c:v>18755</c:v>
                </c:pt>
                <c:pt idx="184">
                  <c:v>19736</c:v>
                </c:pt>
                <c:pt idx="185">
                  <c:v>21028</c:v>
                </c:pt>
                <c:pt idx="186">
                  <c:v>22912</c:v>
                </c:pt>
                <c:pt idx="187">
                  <c:v>23733</c:v>
                </c:pt>
                <c:pt idx="188">
                  <c:v>24880</c:v>
                </c:pt>
                <c:pt idx="189">
                  <c:v>25497</c:v>
                </c:pt>
                <c:pt idx="190">
                  <c:v>25609</c:v>
                </c:pt>
                <c:pt idx="191">
                  <c:v>25307</c:v>
                </c:pt>
                <c:pt idx="192">
                  <c:v>26308</c:v>
                </c:pt>
                <c:pt idx="193">
                  <c:v>25992</c:v>
                </c:pt>
                <c:pt idx="194">
                  <c:v>26606</c:v>
                </c:pt>
                <c:pt idx="195">
                  <c:v>26470</c:v>
                </c:pt>
                <c:pt idx="196">
                  <c:v>26689</c:v>
                </c:pt>
                <c:pt idx="197">
                  <c:v>27401</c:v>
                </c:pt>
                <c:pt idx="198">
                  <c:v>28825</c:v>
                </c:pt>
                <c:pt idx="199">
                  <c:v>29236</c:v>
                </c:pt>
                <c:pt idx="200">
                  <c:v>29299</c:v>
                </c:pt>
                <c:pt idx="201">
                  <c:v>28871</c:v>
                </c:pt>
                <c:pt idx="202">
                  <c:v>28619</c:v>
                </c:pt>
                <c:pt idx="203">
                  <c:v>27805</c:v>
                </c:pt>
                <c:pt idx="204">
                  <c:v>27263</c:v>
                </c:pt>
                <c:pt idx="205">
                  <c:v>25986</c:v>
                </c:pt>
                <c:pt idx="206">
                  <c:v>25427</c:v>
                </c:pt>
                <c:pt idx="207">
                  <c:v>24362</c:v>
                </c:pt>
                <c:pt idx="208">
                  <c:v>23611</c:v>
                </c:pt>
                <c:pt idx="209">
                  <c:v>23284</c:v>
                </c:pt>
                <c:pt idx="210">
                  <c:v>22291</c:v>
                </c:pt>
                <c:pt idx="211">
                  <c:v>21911</c:v>
                </c:pt>
                <c:pt idx="212">
                  <c:v>21520</c:v>
                </c:pt>
                <c:pt idx="213">
                  <c:v>20865</c:v>
                </c:pt>
                <c:pt idx="214">
                  <c:v>20673</c:v>
                </c:pt>
                <c:pt idx="215">
                  <c:v>20489</c:v>
                </c:pt>
                <c:pt idx="216">
                  <c:v>19167</c:v>
                </c:pt>
                <c:pt idx="217">
                  <c:v>17372</c:v>
                </c:pt>
                <c:pt idx="218">
                  <c:v>18526</c:v>
                </c:pt>
                <c:pt idx="219">
                  <c:v>17436</c:v>
                </c:pt>
                <c:pt idx="220">
                  <c:v>17519</c:v>
                </c:pt>
                <c:pt idx="221">
                  <c:v>17508</c:v>
                </c:pt>
                <c:pt idx="222">
                  <c:v>17991</c:v>
                </c:pt>
                <c:pt idx="223">
                  <c:v>18259</c:v>
                </c:pt>
                <c:pt idx="224">
                  <c:v>18421</c:v>
                </c:pt>
                <c:pt idx="225">
                  <c:v>18402</c:v>
                </c:pt>
                <c:pt idx="226">
                  <c:v>18855</c:v>
                </c:pt>
                <c:pt idx="227">
                  <c:v>18461</c:v>
                </c:pt>
                <c:pt idx="228">
                  <c:v>18516</c:v>
                </c:pt>
                <c:pt idx="229">
                  <c:v>18217</c:v>
                </c:pt>
                <c:pt idx="230">
                  <c:v>18137</c:v>
                </c:pt>
                <c:pt idx="231">
                  <c:v>17593</c:v>
                </c:pt>
                <c:pt idx="232">
                  <c:v>17595</c:v>
                </c:pt>
                <c:pt idx="233">
                  <c:v>18109</c:v>
                </c:pt>
                <c:pt idx="234">
                  <c:v>26388</c:v>
                </c:pt>
                <c:pt idx="235">
                  <c:v>62598</c:v>
                </c:pt>
                <c:pt idx="236">
                  <c:v>120592</c:v>
                </c:pt>
                <c:pt idx="237">
                  <c:v>170262</c:v>
                </c:pt>
                <c:pt idx="238">
                  <c:v>196401</c:v>
                </c:pt>
                <c:pt idx="239">
                  <c:v>218760</c:v>
                </c:pt>
                <c:pt idx="240">
                  <c:v>228806</c:v>
                </c:pt>
                <c:pt idx="241">
                  <c:v>230567</c:v>
                </c:pt>
                <c:pt idx="242">
                  <c:v>217968</c:v>
                </c:pt>
                <c:pt idx="243">
                  <c:v>209945</c:v>
                </c:pt>
                <c:pt idx="244">
                  <c:v>210605</c:v>
                </c:pt>
                <c:pt idx="245">
                  <c:v>209529</c:v>
                </c:pt>
                <c:pt idx="246">
                  <c:v>217934</c:v>
                </c:pt>
                <c:pt idx="247">
                  <c:v>217505</c:v>
                </c:pt>
                <c:pt idx="248">
                  <c:v>216603</c:v>
                </c:pt>
                <c:pt idx="249">
                  <c:v>227420</c:v>
                </c:pt>
                <c:pt idx="250">
                  <c:v>229352</c:v>
                </c:pt>
                <c:pt idx="251">
                  <c:v>230823</c:v>
                </c:pt>
                <c:pt idx="252">
                  <c:v>232497</c:v>
                </c:pt>
                <c:pt idx="253">
                  <c:v>219460</c:v>
                </c:pt>
                <c:pt idx="254">
                  <c:v>211213</c:v>
                </c:pt>
                <c:pt idx="255">
                  <c:v>205979</c:v>
                </c:pt>
                <c:pt idx="256">
                  <c:v>202717</c:v>
                </c:pt>
                <c:pt idx="257">
                  <c:v>200185</c:v>
                </c:pt>
                <c:pt idx="258">
                  <c:v>194479</c:v>
                </c:pt>
                <c:pt idx="259">
                  <c:v>190508</c:v>
                </c:pt>
                <c:pt idx="260">
                  <c:v>175838</c:v>
                </c:pt>
                <c:pt idx="261">
                  <c:v>168948</c:v>
                </c:pt>
                <c:pt idx="262">
                  <c:v>151437</c:v>
                </c:pt>
              </c:numCache>
            </c:numRef>
          </c:val>
          <c:smooth val="0"/>
          <c:extLst>
            <c:ext xmlns:c16="http://schemas.microsoft.com/office/drawing/2014/chart" uri="{C3380CC4-5D6E-409C-BE32-E72D297353CC}">
              <c16:uniqueId val="{00000000-8B42-4F65-8D88-DE01DD879670}"/>
            </c:ext>
          </c:extLst>
        </c:ser>
        <c:dLbls>
          <c:showLegendKey val="0"/>
          <c:showVal val="0"/>
          <c:showCatName val="0"/>
          <c:showSerName val="0"/>
          <c:showPercent val="0"/>
          <c:showBubbleSize val="0"/>
        </c:dLbls>
        <c:smooth val="0"/>
        <c:axId val="255556224"/>
        <c:axId val="255562496"/>
      </c:lineChart>
      <c:dateAx>
        <c:axId val="255556224"/>
        <c:scaling>
          <c:orientation val="minMax"/>
        </c:scaling>
        <c:delete val="0"/>
        <c:axPos val="b"/>
        <c:title>
          <c:tx>
            <c:rich>
              <a:bodyPr/>
              <a:lstStyle/>
              <a:p>
                <a:pPr>
                  <a:defRPr sz="1200" b="1" i="0" u="none" strike="noStrike" baseline="0">
                    <a:solidFill>
                      <a:srgbClr val="000000"/>
                    </a:solidFill>
                    <a:latin typeface="+mn-lt"/>
                    <a:ea typeface="Tahoma"/>
                    <a:cs typeface="Tahoma"/>
                  </a:defRPr>
                </a:pPr>
                <a:r>
                  <a:rPr lang="en-US">
                    <a:latin typeface="+mn-lt"/>
                  </a:rPr>
                  <a:t>Month-Year</a:t>
                </a:r>
              </a:p>
            </c:rich>
          </c:tx>
          <c:layout>
            <c:manualLayout>
              <c:xMode val="edge"/>
              <c:yMode val="edge"/>
              <c:x val="0.49911029156871484"/>
              <c:y val="0.94109945066002143"/>
            </c:manualLayout>
          </c:layout>
          <c:overlay val="0"/>
          <c:spPr>
            <a:noFill/>
            <a:ln w="25400">
              <a:noFill/>
            </a:ln>
          </c:spPr>
        </c:title>
        <c:numFmt formatCode="[$-409]mmm\-yy;@" sourceLinked="0"/>
        <c:majorTickMark val="out"/>
        <c:minorTickMark val="none"/>
        <c:tickLblPos val="low"/>
        <c:spPr>
          <a:ln w="3175">
            <a:solidFill>
              <a:srgbClr val="000000"/>
            </a:solidFill>
            <a:prstDash val="solid"/>
          </a:ln>
        </c:spPr>
        <c:txPr>
          <a:bodyPr rot="-3000000" vert="horz"/>
          <a:lstStyle/>
          <a:p>
            <a:pPr>
              <a:defRPr sz="1200" b="1" i="0" u="none" strike="noStrike" baseline="0">
                <a:solidFill>
                  <a:srgbClr val="000000"/>
                </a:solidFill>
                <a:latin typeface="+mn-lt"/>
                <a:ea typeface="Tahoma"/>
                <a:cs typeface="Tahoma"/>
              </a:defRPr>
            </a:pPr>
            <a:endParaRPr lang="en-US"/>
          </a:p>
        </c:txPr>
        <c:crossAx val="255562496"/>
        <c:crosses val="autoZero"/>
        <c:auto val="0"/>
        <c:lblOffset val="100"/>
        <c:baseTimeUnit val="days"/>
        <c:majorUnit val="2"/>
        <c:majorTimeUnit val="months"/>
      </c:dateAx>
      <c:valAx>
        <c:axId val="255562496"/>
        <c:scaling>
          <c:orientation val="minMax"/>
        </c:scaling>
        <c:delete val="0"/>
        <c:axPos val="r"/>
        <c:majorGridlines>
          <c:spPr>
            <a:ln w="3175">
              <a:solidFill>
                <a:srgbClr val="000000">
                  <a:alpha val="31000"/>
                </a:srgbClr>
              </a:solidFill>
              <a:prstDash val="dash"/>
            </a:ln>
          </c:spPr>
        </c:majorGridlines>
        <c:numFmt formatCode="#,##0" sourceLinked="1"/>
        <c:majorTickMark val="none"/>
        <c:minorTickMark val="none"/>
        <c:tickLblPos val="nextTo"/>
        <c:spPr>
          <a:ln w="3175">
            <a:solidFill>
              <a:srgbClr val="000000"/>
            </a:solidFill>
            <a:prstDash val="solid"/>
          </a:ln>
        </c:spPr>
        <c:txPr>
          <a:bodyPr rot="0" vert="horz"/>
          <a:lstStyle/>
          <a:p>
            <a:pPr>
              <a:defRPr sz="1200" b="1" i="0" u="none" strike="noStrike" baseline="0">
                <a:solidFill>
                  <a:srgbClr val="000000"/>
                </a:solidFill>
                <a:latin typeface="+mn-lt"/>
                <a:ea typeface="Tahoma"/>
                <a:cs typeface="Tahoma"/>
              </a:defRPr>
            </a:pPr>
            <a:endParaRPr lang="en-US"/>
          </a:p>
        </c:txPr>
        <c:crossAx val="255556224"/>
        <c:crosses val="max"/>
        <c:crossBetween val="midCat"/>
      </c:valAx>
      <c:spPr>
        <a:noFill/>
        <a:ln w="12700">
          <a:solidFill>
            <a:srgbClr val="808080"/>
          </a:solidFill>
          <a:prstDash val="solid"/>
        </a:ln>
      </c:spPr>
    </c:plotArea>
    <c:plotVisOnly val="1"/>
    <c:dispBlanksAs val="gap"/>
    <c:showDLblsOverMax val="0"/>
  </c:chart>
  <c:spPr>
    <a:noFill/>
    <a:ln w="9525">
      <a:noFill/>
    </a:ln>
  </c:spPr>
  <c:txPr>
    <a:bodyPr/>
    <a:lstStyle/>
    <a:p>
      <a:pPr>
        <a:defRPr sz="1200" b="0" i="0" u="none" strike="noStrike" baseline="0">
          <a:solidFill>
            <a:srgbClr val="000000"/>
          </a:solidFill>
          <a:latin typeface="Tahoma"/>
          <a:ea typeface="Tahoma"/>
          <a:cs typeface="Tahoma"/>
        </a:defRPr>
      </a:pPr>
      <a:endParaRPr lang="en-US"/>
    </a:p>
  </c:txPr>
</c:chartSpace>
</file>

<file path=xl/chart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chartsheets/sheet1.xml><?xml version="1.0" encoding="utf-8"?>
<chartsheet xmlns="http://schemas.openxmlformats.org/spreadsheetml/2006/main" xmlns:r="http://schemas.openxmlformats.org/officeDocument/2006/relationships">
  <sheetPr codeName="Chart1"/>
  <sheetViews>
    <sheetView zoomScale="120" workbookViewId="0"/>
  </sheetViews>
  <pageMargins left="0.75" right="0.75" top="1" bottom="1" header="0.5" footer="0.5"/>
  <pageSetup orientation="landscape" r:id="rId1"/>
  <headerFooter alignWithMargins="0"/>
  <drawing r:id="rId2"/>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absoluteAnchor>
    <xdr:pos x="0" y="0"/>
    <xdr:ext cx="8580438" cy="5834063"/>
    <xdr:graphicFrame macro="">
      <xdr:nvGraphicFramePr>
        <xdr:cNvPr id="2" name="Chart 1">
          <a:extLst>
            <a:ext uri="{FF2B5EF4-FFF2-40B4-BE49-F238E27FC236}">
              <a16:creationId xmlns:a16="http://schemas.microsoft.com/office/drawing/2014/main" id="{00000000-0008-0000-01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oui.doleta.gov/unemploy/DataDashboard.asp" TargetMode="Externa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A1:AG1111"/>
  <sheetViews>
    <sheetView tabSelected="1" zoomScaleNormal="100" workbookViewId="0">
      <pane xSplit="1" ySplit="3" topLeftCell="B603" activePane="bottomRight" state="frozen"/>
      <selection activeCell="B1" sqref="B1"/>
      <selection pane="topRight" activeCell="C1" sqref="C1"/>
      <selection pane="bottomLeft" activeCell="B4" sqref="B4"/>
      <selection pane="bottomRight" activeCell="C612" sqref="C612:O612"/>
    </sheetView>
  </sheetViews>
  <sheetFormatPr defaultColWidth="8.85546875" defaultRowHeight="14.25" x14ac:dyDescent="0.25"/>
  <cols>
    <col min="1" max="1" width="11.85546875" style="1" bestFit="1" customWidth="1"/>
    <col min="2" max="2" width="8.140625" style="1" customWidth="1"/>
    <col min="3" max="3" width="8.140625" style="1" bestFit="1" customWidth="1"/>
    <col min="4" max="4" width="5.5703125" style="1" customWidth="1"/>
    <col min="5" max="5" width="4.5703125" style="1" customWidth="1"/>
    <col min="6" max="10" width="7.140625" style="1" customWidth="1"/>
    <col min="11" max="11" width="8.42578125" style="1" customWidth="1"/>
    <col min="12" max="12" width="10.7109375" style="1" customWidth="1"/>
    <col min="13" max="14" width="8.42578125" style="1" customWidth="1"/>
    <col min="15" max="15" width="8.42578125" style="3" customWidth="1"/>
    <col min="16" max="16384" width="8.85546875" style="1"/>
  </cols>
  <sheetData>
    <row r="1" spans="1:33" ht="41.45" customHeight="1" x14ac:dyDescent="0.25">
      <c r="A1" s="19" t="s">
        <v>4</v>
      </c>
      <c r="B1" s="20"/>
      <c r="C1" s="20"/>
      <c r="D1" s="20"/>
      <c r="E1" s="20"/>
      <c r="F1" s="20"/>
      <c r="G1" s="20"/>
      <c r="H1" s="20"/>
      <c r="I1" s="20"/>
      <c r="J1" s="20"/>
      <c r="K1" s="20"/>
      <c r="L1" s="20"/>
      <c r="M1" s="20"/>
      <c r="N1" s="20"/>
      <c r="O1" s="20"/>
    </row>
    <row r="2" spans="1:33" ht="14.45" customHeight="1" x14ac:dyDescent="0.25">
      <c r="A2" s="27" t="s">
        <v>24</v>
      </c>
      <c r="B2" s="17"/>
      <c r="C2" s="17"/>
      <c r="D2" s="17"/>
      <c r="E2" s="17"/>
      <c r="F2" s="17"/>
      <c r="G2" s="17"/>
      <c r="H2" s="17"/>
      <c r="I2" s="17"/>
      <c r="J2" s="17"/>
      <c r="K2" s="26" t="s">
        <v>14</v>
      </c>
      <c r="L2" s="26"/>
      <c r="M2" s="26" t="s">
        <v>15</v>
      </c>
      <c r="N2" s="26"/>
      <c r="O2" s="14"/>
    </row>
    <row r="3" spans="1:33" ht="36" customHeight="1" x14ac:dyDescent="0.25">
      <c r="A3" s="28"/>
      <c r="B3" s="5" t="s">
        <v>5</v>
      </c>
      <c r="C3" s="5" t="s">
        <v>17</v>
      </c>
      <c r="D3" s="5" t="s">
        <v>1</v>
      </c>
      <c r="E3" s="5" t="s">
        <v>2</v>
      </c>
      <c r="F3" s="5" t="s">
        <v>6</v>
      </c>
      <c r="G3" s="5" t="s">
        <v>7</v>
      </c>
      <c r="H3" s="5" t="s">
        <v>8</v>
      </c>
      <c r="I3" s="5" t="s">
        <v>9</v>
      </c>
      <c r="J3" s="5" t="s">
        <v>3</v>
      </c>
      <c r="K3" s="5" t="s">
        <v>5</v>
      </c>
      <c r="L3" s="5" t="s">
        <v>0</v>
      </c>
      <c r="M3" s="5" t="s">
        <v>5</v>
      </c>
      <c r="N3" s="5" t="s">
        <v>0</v>
      </c>
      <c r="O3" s="15" t="s">
        <v>18</v>
      </c>
      <c r="P3" s="2"/>
      <c r="Q3" s="2"/>
      <c r="R3" s="2"/>
      <c r="S3" s="2"/>
      <c r="T3" s="2"/>
      <c r="U3" s="2"/>
    </row>
    <row r="4" spans="1:33" ht="19.7" customHeight="1" x14ac:dyDescent="0.25">
      <c r="A4" s="6">
        <v>39865</v>
      </c>
      <c r="B4" s="7">
        <f t="shared" ref="B4:B35" si="0">SUM(C4:J4)</f>
        <v>115295</v>
      </c>
      <c r="C4" s="7">
        <v>85603</v>
      </c>
      <c r="D4" s="7">
        <v>350</v>
      </c>
      <c r="E4" s="7">
        <v>354</v>
      </c>
      <c r="F4" s="7">
        <v>18748</v>
      </c>
      <c r="G4" s="7">
        <v>10226</v>
      </c>
      <c r="H4" s="7">
        <v>0</v>
      </c>
      <c r="I4" s="7">
        <v>0</v>
      </c>
      <c r="J4" s="7">
        <v>14</v>
      </c>
      <c r="K4" s="7"/>
      <c r="L4" s="7"/>
      <c r="M4" s="8"/>
      <c r="N4" s="8"/>
      <c r="O4" s="7">
        <v>8382</v>
      </c>
      <c r="Q4" s="3"/>
      <c r="R4" s="3"/>
      <c r="S4" s="6"/>
      <c r="T4" s="7"/>
      <c r="U4" s="7"/>
      <c r="V4" s="7"/>
      <c r="W4" s="7"/>
      <c r="X4" s="7"/>
      <c r="Y4" s="7"/>
      <c r="Z4" s="7"/>
      <c r="AA4" s="7"/>
      <c r="AB4" s="7"/>
      <c r="AC4" s="7"/>
      <c r="AD4" s="7"/>
      <c r="AE4" s="8"/>
      <c r="AF4" s="8"/>
      <c r="AG4" s="6"/>
    </row>
    <row r="5" spans="1:33" ht="19.7" customHeight="1" x14ac:dyDescent="0.25">
      <c r="A5" s="6">
        <f>A4+7</f>
        <v>39872</v>
      </c>
      <c r="B5" s="7">
        <f t="shared" si="0"/>
        <v>120149</v>
      </c>
      <c r="C5" s="7">
        <v>89125</v>
      </c>
      <c r="D5" s="7">
        <v>348</v>
      </c>
      <c r="E5" s="7">
        <v>340</v>
      </c>
      <c r="F5" s="7">
        <v>19527</v>
      </c>
      <c r="G5" s="7">
        <v>10801</v>
      </c>
      <c r="H5" s="7">
        <v>0</v>
      </c>
      <c r="I5" s="7">
        <v>0</v>
      </c>
      <c r="J5" s="7">
        <v>8</v>
      </c>
      <c r="K5" s="7"/>
      <c r="L5" s="7"/>
      <c r="M5" s="8"/>
      <c r="N5" s="8"/>
      <c r="O5" s="7">
        <v>8553</v>
      </c>
      <c r="Q5" s="3"/>
      <c r="R5" s="3"/>
      <c r="S5" s="6"/>
      <c r="T5" s="7"/>
      <c r="U5" s="7"/>
      <c r="V5" s="7"/>
      <c r="W5" s="7"/>
      <c r="X5" s="7"/>
      <c r="Y5" s="7"/>
      <c r="Z5" s="7"/>
      <c r="AA5" s="7"/>
      <c r="AB5" s="7"/>
      <c r="AC5" s="7"/>
      <c r="AD5" s="7"/>
      <c r="AE5" s="8"/>
      <c r="AF5" s="8"/>
      <c r="AG5" s="6"/>
    </row>
    <row r="6" spans="1:33" ht="19.7" customHeight="1" x14ac:dyDescent="0.25">
      <c r="A6" s="6">
        <f t="shared" ref="A6:A69" si="1">A5+7</f>
        <v>39879</v>
      </c>
      <c r="B6" s="7">
        <f t="shared" si="0"/>
        <v>122148</v>
      </c>
      <c r="C6" s="7">
        <v>90417</v>
      </c>
      <c r="D6" s="7">
        <v>346</v>
      </c>
      <c r="E6" s="7">
        <v>335</v>
      </c>
      <c r="F6" s="7">
        <v>19878</v>
      </c>
      <c r="G6" s="7">
        <v>11162</v>
      </c>
      <c r="H6" s="7">
        <v>0</v>
      </c>
      <c r="I6" s="7">
        <v>0</v>
      </c>
      <c r="J6" s="7">
        <v>10</v>
      </c>
      <c r="K6" s="7"/>
      <c r="L6" s="7"/>
      <c r="M6" s="8"/>
      <c r="N6" s="8"/>
      <c r="O6" s="7">
        <v>9455</v>
      </c>
      <c r="Q6" s="3"/>
      <c r="R6" s="3"/>
      <c r="S6" s="6"/>
      <c r="T6" s="7"/>
      <c r="U6" s="7"/>
      <c r="V6" s="7"/>
      <c r="W6" s="7"/>
      <c r="X6" s="7"/>
      <c r="Y6" s="7"/>
      <c r="Z6" s="7"/>
      <c r="AA6" s="7"/>
      <c r="AB6" s="7"/>
      <c r="AC6" s="7"/>
      <c r="AD6" s="7"/>
      <c r="AE6" s="8"/>
      <c r="AF6" s="8"/>
      <c r="AG6" s="6"/>
    </row>
    <row r="7" spans="1:33" ht="19.7" customHeight="1" x14ac:dyDescent="0.25">
      <c r="A7" s="6">
        <f t="shared" si="1"/>
        <v>39886</v>
      </c>
      <c r="B7" s="7">
        <f t="shared" si="0"/>
        <v>125726</v>
      </c>
      <c r="C7" s="7">
        <v>93969</v>
      </c>
      <c r="D7" s="7">
        <v>334</v>
      </c>
      <c r="E7" s="7">
        <v>373</v>
      </c>
      <c r="F7" s="7">
        <v>19878</v>
      </c>
      <c r="G7" s="7">
        <v>11162</v>
      </c>
      <c r="H7" s="7">
        <v>0</v>
      </c>
      <c r="I7" s="7">
        <v>0</v>
      </c>
      <c r="J7" s="7">
        <v>10</v>
      </c>
      <c r="K7" s="7"/>
      <c r="L7" s="7"/>
      <c r="M7" s="8"/>
      <c r="N7" s="8"/>
      <c r="O7" s="7">
        <v>9384</v>
      </c>
      <c r="Q7" s="3"/>
      <c r="R7" s="3"/>
      <c r="S7" s="6"/>
      <c r="T7" s="7"/>
      <c r="U7" s="7"/>
      <c r="V7" s="7"/>
      <c r="W7" s="7"/>
      <c r="X7" s="7"/>
      <c r="Y7" s="7"/>
      <c r="Z7" s="7"/>
      <c r="AA7" s="7"/>
      <c r="AB7" s="7"/>
      <c r="AC7" s="7"/>
      <c r="AD7" s="7"/>
      <c r="AE7" s="8"/>
      <c r="AF7" s="8"/>
      <c r="AG7" s="6"/>
    </row>
    <row r="8" spans="1:33" ht="19.7" customHeight="1" x14ac:dyDescent="0.25">
      <c r="A8" s="6">
        <f t="shared" si="1"/>
        <v>39893</v>
      </c>
      <c r="B8" s="7">
        <f t="shared" si="0"/>
        <v>129868</v>
      </c>
      <c r="C8" s="7">
        <v>96653</v>
      </c>
      <c r="D8" s="7">
        <v>336</v>
      </c>
      <c r="E8" s="7">
        <v>339</v>
      </c>
      <c r="F8" s="7">
        <v>21206</v>
      </c>
      <c r="G8" s="7">
        <v>11321</v>
      </c>
      <c r="H8" s="7">
        <v>0</v>
      </c>
      <c r="I8" s="7">
        <v>0</v>
      </c>
      <c r="J8" s="7">
        <v>13</v>
      </c>
      <c r="K8" s="7"/>
      <c r="L8" s="7"/>
      <c r="M8" s="8"/>
      <c r="N8" s="8"/>
      <c r="O8" s="7">
        <v>8620</v>
      </c>
      <c r="Q8" s="3"/>
      <c r="R8" s="3"/>
      <c r="S8" s="6"/>
      <c r="T8" s="7"/>
      <c r="U8" s="7"/>
      <c r="V8" s="7"/>
      <c r="W8" s="7"/>
      <c r="X8" s="7"/>
      <c r="Y8" s="7"/>
      <c r="Z8" s="7"/>
      <c r="AA8" s="7"/>
      <c r="AB8" s="7"/>
      <c r="AC8" s="7"/>
      <c r="AD8" s="7"/>
      <c r="AE8" s="8"/>
      <c r="AF8" s="8"/>
      <c r="AG8" s="6"/>
    </row>
    <row r="9" spans="1:33" ht="19.7" customHeight="1" x14ac:dyDescent="0.25">
      <c r="A9" s="6">
        <f t="shared" si="1"/>
        <v>39900</v>
      </c>
      <c r="B9" s="7">
        <f t="shared" si="0"/>
        <v>131322</v>
      </c>
      <c r="C9" s="7">
        <v>97073</v>
      </c>
      <c r="D9" s="7">
        <v>324</v>
      </c>
      <c r="E9" s="7">
        <v>367</v>
      </c>
      <c r="F9" s="7">
        <v>22045</v>
      </c>
      <c r="G9" s="7">
        <v>11498</v>
      </c>
      <c r="H9" s="7">
        <v>0</v>
      </c>
      <c r="I9" s="7">
        <v>0</v>
      </c>
      <c r="J9" s="7">
        <v>15</v>
      </c>
      <c r="K9" s="7"/>
      <c r="L9" s="7"/>
      <c r="M9" s="8"/>
      <c r="N9" s="8"/>
      <c r="O9" s="7">
        <v>7873</v>
      </c>
      <c r="Q9" s="3"/>
      <c r="R9" s="3"/>
      <c r="S9" s="6"/>
      <c r="T9" s="7"/>
      <c r="U9" s="7"/>
      <c r="V9" s="7"/>
      <c r="W9" s="7"/>
      <c r="X9" s="7"/>
      <c r="Y9" s="7"/>
      <c r="Z9" s="7"/>
      <c r="AA9" s="7"/>
      <c r="AB9" s="7"/>
      <c r="AC9" s="7"/>
      <c r="AD9" s="7"/>
      <c r="AE9" s="8"/>
      <c r="AF9" s="8"/>
      <c r="AG9" s="6"/>
    </row>
    <row r="10" spans="1:33" ht="19.7" customHeight="1" x14ac:dyDescent="0.25">
      <c r="A10" s="6">
        <f t="shared" si="1"/>
        <v>39907</v>
      </c>
      <c r="B10" s="7">
        <f t="shared" si="0"/>
        <v>132642</v>
      </c>
      <c r="C10" s="7">
        <v>98092</v>
      </c>
      <c r="D10" s="7">
        <v>308</v>
      </c>
      <c r="E10" s="7">
        <v>348</v>
      </c>
      <c r="F10" s="7">
        <v>22115</v>
      </c>
      <c r="G10" s="7">
        <v>11766</v>
      </c>
      <c r="H10" s="7">
        <v>0</v>
      </c>
      <c r="I10" s="7">
        <v>0</v>
      </c>
      <c r="J10" s="7">
        <v>13</v>
      </c>
      <c r="K10" s="7"/>
      <c r="L10" s="7"/>
      <c r="M10" s="8"/>
      <c r="N10" s="8"/>
      <c r="O10" s="7">
        <v>9652</v>
      </c>
      <c r="Q10" s="3"/>
      <c r="R10" s="3"/>
      <c r="S10" s="6"/>
      <c r="T10" s="7"/>
      <c r="U10" s="7"/>
      <c r="V10" s="7"/>
      <c r="W10" s="7"/>
      <c r="X10" s="7"/>
      <c r="Y10" s="7"/>
      <c r="Z10" s="7"/>
      <c r="AA10" s="7"/>
      <c r="AB10" s="7"/>
      <c r="AC10" s="7"/>
      <c r="AD10" s="7"/>
      <c r="AE10" s="8"/>
      <c r="AF10" s="8"/>
      <c r="AG10" s="6"/>
    </row>
    <row r="11" spans="1:33" ht="19.7" customHeight="1" x14ac:dyDescent="0.25">
      <c r="A11" s="6">
        <f t="shared" si="1"/>
        <v>39914</v>
      </c>
      <c r="B11" s="7">
        <f t="shared" si="0"/>
        <v>136739</v>
      </c>
      <c r="C11" s="7">
        <v>100220</v>
      </c>
      <c r="D11" s="7">
        <v>288</v>
      </c>
      <c r="E11" s="7">
        <v>339</v>
      </c>
      <c r="F11" s="7">
        <v>24031</v>
      </c>
      <c r="G11" s="7">
        <v>11839</v>
      </c>
      <c r="H11" s="7">
        <v>0</v>
      </c>
      <c r="I11" s="7">
        <v>0</v>
      </c>
      <c r="J11" s="7">
        <v>22</v>
      </c>
      <c r="K11" s="7"/>
      <c r="L11" s="7"/>
      <c r="M11" s="8"/>
      <c r="N11" s="8"/>
      <c r="O11" s="7">
        <v>11090</v>
      </c>
      <c r="Q11" s="3"/>
      <c r="R11" s="3"/>
      <c r="S11" s="6"/>
      <c r="T11" s="7"/>
      <c r="U11" s="7"/>
      <c r="V11" s="7"/>
      <c r="W11" s="7"/>
      <c r="X11" s="7"/>
      <c r="Y11" s="7"/>
      <c r="Z11" s="7"/>
      <c r="AA11" s="7"/>
      <c r="AB11" s="7"/>
      <c r="AC11" s="7"/>
      <c r="AD11" s="7"/>
      <c r="AE11" s="8"/>
      <c r="AF11" s="8"/>
      <c r="AG11" s="6"/>
    </row>
    <row r="12" spans="1:33" ht="19.7" customHeight="1" x14ac:dyDescent="0.25">
      <c r="A12" s="6">
        <f t="shared" si="1"/>
        <v>39921</v>
      </c>
      <c r="B12" s="7">
        <f t="shared" si="0"/>
        <v>140698</v>
      </c>
      <c r="C12" s="7">
        <v>103969</v>
      </c>
      <c r="D12" s="7">
        <v>307</v>
      </c>
      <c r="E12" s="7">
        <v>387</v>
      </c>
      <c r="F12" s="7">
        <v>24092</v>
      </c>
      <c r="G12" s="7">
        <v>11913</v>
      </c>
      <c r="H12" s="7">
        <v>0</v>
      </c>
      <c r="I12" s="7">
        <v>0</v>
      </c>
      <c r="J12" s="7">
        <v>30</v>
      </c>
      <c r="K12" s="7"/>
      <c r="L12" s="7"/>
      <c r="M12" s="8"/>
      <c r="N12" s="8"/>
      <c r="O12" s="7">
        <v>9739</v>
      </c>
      <c r="Q12" s="3"/>
      <c r="R12" s="3"/>
      <c r="S12" s="6"/>
      <c r="T12" s="7"/>
      <c r="U12" s="7"/>
      <c r="V12" s="7"/>
      <c r="W12" s="7"/>
      <c r="X12" s="7"/>
      <c r="Y12" s="7"/>
      <c r="Z12" s="7"/>
      <c r="AA12" s="7"/>
      <c r="AB12" s="7"/>
      <c r="AC12" s="7"/>
      <c r="AD12" s="7"/>
      <c r="AE12" s="8"/>
      <c r="AF12" s="8"/>
      <c r="AG12" s="6"/>
    </row>
    <row r="13" spans="1:33" ht="19.7" customHeight="1" x14ac:dyDescent="0.25">
      <c r="A13" s="6">
        <f t="shared" si="1"/>
        <v>39928</v>
      </c>
      <c r="B13" s="7">
        <f t="shared" si="0"/>
        <v>139250</v>
      </c>
      <c r="C13" s="7">
        <v>105509</v>
      </c>
      <c r="D13" s="7">
        <v>283</v>
      </c>
      <c r="E13" s="7">
        <v>372</v>
      </c>
      <c r="F13" s="7">
        <v>24928</v>
      </c>
      <c r="G13" s="7">
        <v>8128</v>
      </c>
      <c r="H13" s="7">
        <v>0</v>
      </c>
      <c r="I13" s="7">
        <v>0</v>
      </c>
      <c r="J13" s="7">
        <v>30</v>
      </c>
      <c r="K13" s="7"/>
      <c r="L13" s="7"/>
      <c r="M13" s="8"/>
      <c r="N13" s="8"/>
      <c r="O13" s="7">
        <v>8803</v>
      </c>
      <c r="Q13" s="3"/>
      <c r="R13" s="3"/>
      <c r="S13" s="6"/>
      <c r="T13" s="7"/>
      <c r="U13" s="7"/>
      <c r="V13" s="7"/>
      <c r="W13" s="7"/>
      <c r="X13" s="7"/>
      <c r="Y13" s="7"/>
      <c r="Z13" s="7"/>
      <c r="AA13" s="7"/>
      <c r="AB13" s="7"/>
      <c r="AC13" s="7"/>
      <c r="AD13" s="7"/>
      <c r="AE13" s="8"/>
      <c r="AF13" s="8"/>
      <c r="AG13" s="6"/>
    </row>
    <row r="14" spans="1:33" ht="19.7" customHeight="1" x14ac:dyDescent="0.25">
      <c r="A14" s="6">
        <f t="shared" si="1"/>
        <v>39935</v>
      </c>
      <c r="B14" s="7">
        <f t="shared" si="0"/>
        <v>140165</v>
      </c>
      <c r="C14" s="7">
        <v>106660</v>
      </c>
      <c r="D14" s="7">
        <v>280</v>
      </c>
      <c r="E14" s="7">
        <v>337</v>
      </c>
      <c r="F14" s="7">
        <v>25126</v>
      </c>
      <c r="G14" s="7">
        <v>7710</v>
      </c>
      <c r="H14" s="7">
        <v>0</v>
      </c>
      <c r="I14" s="7">
        <v>0</v>
      </c>
      <c r="J14" s="7">
        <v>52</v>
      </c>
      <c r="K14" s="7"/>
      <c r="L14" s="7"/>
      <c r="M14" s="8"/>
      <c r="N14" s="8"/>
      <c r="O14" s="7">
        <v>8297</v>
      </c>
      <c r="Q14" s="3"/>
      <c r="R14" s="3"/>
      <c r="S14" s="6"/>
      <c r="T14" s="7"/>
      <c r="U14" s="7"/>
      <c r="V14" s="7"/>
      <c r="W14" s="7"/>
      <c r="X14" s="7"/>
      <c r="Y14" s="7"/>
      <c r="Z14" s="7"/>
      <c r="AA14" s="7"/>
      <c r="AB14" s="7"/>
      <c r="AC14" s="7"/>
      <c r="AD14" s="7"/>
      <c r="AE14" s="8"/>
      <c r="AF14" s="8"/>
      <c r="AG14" s="6"/>
    </row>
    <row r="15" spans="1:33" ht="19.7" customHeight="1" x14ac:dyDescent="0.25">
      <c r="A15" s="6">
        <f t="shared" si="1"/>
        <v>39942</v>
      </c>
      <c r="B15" s="7">
        <f t="shared" si="0"/>
        <v>142990</v>
      </c>
      <c r="C15" s="7">
        <v>108420</v>
      </c>
      <c r="D15" s="7">
        <v>233</v>
      </c>
      <c r="E15" s="7">
        <v>352</v>
      </c>
      <c r="F15" s="7">
        <v>26157</v>
      </c>
      <c r="G15" s="7">
        <v>7730</v>
      </c>
      <c r="H15" s="7">
        <v>0</v>
      </c>
      <c r="I15" s="7">
        <v>0</v>
      </c>
      <c r="J15" s="7">
        <v>98</v>
      </c>
      <c r="K15" s="7"/>
      <c r="L15" s="7"/>
      <c r="M15" s="8"/>
      <c r="N15" s="8"/>
      <c r="O15" s="7">
        <v>8310</v>
      </c>
      <c r="Q15" s="3"/>
      <c r="R15" s="3"/>
      <c r="S15" s="6"/>
      <c r="T15" s="7"/>
      <c r="U15" s="7"/>
      <c r="V15" s="7"/>
      <c r="W15" s="7"/>
      <c r="X15" s="7"/>
      <c r="Y15" s="7"/>
      <c r="Z15" s="7"/>
      <c r="AA15" s="7"/>
      <c r="AB15" s="7"/>
      <c r="AC15" s="7"/>
      <c r="AD15" s="7"/>
      <c r="AE15" s="8"/>
      <c r="AF15" s="8"/>
      <c r="AG15" s="6"/>
    </row>
    <row r="16" spans="1:33" ht="19.7" customHeight="1" x14ac:dyDescent="0.25">
      <c r="A16" s="6">
        <f t="shared" si="1"/>
        <v>39949</v>
      </c>
      <c r="B16" s="7">
        <f t="shared" si="0"/>
        <v>143611</v>
      </c>
      <c r="C16" s="7">
        <v>107689</v>
      </c>
      <c r="D16" s="7">
        <v>248</v>
      </c>
      <c r="E16" s="7">
        <v>355</v>
      </c>
      <c r="F16" s="7">
        <v>26319</v>
      </c>
      <c r="G16" s="7">
        <v>7896</v>
      </c>
      <c r="H16" s="7">
        <v>0</v>
      </c>
      <c r="I16" s="7">
        <v>0</v>
      </c>
      <c r="J16" s="7">
        <v>1104</v>
      </c>
      <c r="K16" s="7"/>
      <c r="L16" s="7"/>
      <c r="M16" s="8"/>
      <c r="N16" s="8"/>
      <c r="O16" s="7">
        <v>7936</v>
      </c>
      <c r="Q16" s="3"/>
      <c r="R16" s="3"/>
      <c r="S16" s="6"/>
      <c r="T16" s="7"/>
      <c r="U16" s="7"/>
      <c r="V16" s="7"/>
      <c r="W16" s="7"/>
      <c r="X16" s="7"/>
      <c r="Y16" s="7"/>
      <c r="Z16" s="7"/>
      <c r="AA16" s="7"/>
      <c r="AB16" s="7"/>
      <c r="AC16" s="7"/>
      <c r="AD16" s="7"/>
      <c r="AE16" s="8"/>
      <c r="AF16" s="8"/>
      <c r="AG16" s="6"/>
    </row>
    <row r="17" spans="1:33" ht="19.7" customHeight="1" x14ac:dyDescent="0.25">
      <c r="A17" s="6">
        <f t="shared" si="1"/>
        <v>39956</v>
      </c>
      <c r="B17" s="7">
        <f t="shared" si="0"/>
        <v>146321</v>
      </c>
      <c r="C17" s="7">
        <v>107363</v>
      </c>
      <c r="D17" s="7">
        <v>225</v>
      </c>
      <c r="E17" s="7">
        <v>351</v>
      </c>
      <c r="F17" s="7">
        <v>27273</v>
      </c>
      <c r="G17" s="7">
        <v>7898</v>
      </c>
      <c r="H17" s="7">
        <v>0</v>
      </c>
      <c r="I17" s="7">
        <v>0</v>
      </c>
      <c r="J17" s="7">
        <v>3211</v>
      </c>
      <c r="K17" s="7"/>
      <c r="L17" s="7"/>
      <c r="M17" s="8"/>
      <c r="N17" s="8"/>
      <c r="O17" s="7">
        <v>8219</v>
      </c>
      <c r="Q17" s="3"/>
      <c r="R17" s="3"/>
      <c r="S17" s="6"/>
      <c r="T17" s="7"/>
      <c r="U17" s="7"/>
      <c r="V17" s="7"/>
      <c r="W17" s="7"/>
      <c r="X17" s="7"/>
      <c r="Y17" s="7"/>
      <c r="Z17" s="7"/>
      <c r="AA17" s="7"/>
      <c r="AB17" s="7"/>
      <c r="AC17" s="7"/>
      <c r="AD17" s="7"/>
      <c r="AE17" s="8"/>
      <c r="AF17" s="8"/>
      <c r="AG17" s="6"/>
    </row>
    <row r="18" spans="1:33" ht="19.7" customHeight="1" x14ac:dyDescent="0.25">
      <c r="A18" s="6">
        <f t="shared" si="1"/>
        <v>39963</v>
      </c>
      <c r="B18" s="7">
        <f t="shared" si="0"/>
        <v>147261</v>
      </c>
      <c r="C18" s="7">
        <v>106297</v>
      </c>
      <c r="D18" s="7">
        <v>242</v>
      </c>
      <c r="E18" s="7">
        <v>347</v>
      </c>
      <c r="F18" s="7">
        <v>27395</v>
      </c>
      <c r="G18" s="7">
        <v>8087</v>
      </c>
      <c r="H18" s="7">
        <v>0</v>
      </c>
      <c r="I18" s="7">
        <v>0</v>
      </c>
      <c r="J18" s="7">
        <v>4893</v>
      </c>
      <c r="K18" s="7"/>
      <c r="L18" s="7"/>
      <c r="M18" s="8"/>
      <c r="N18" s="8"/>
      <c r="O18" s="7">
        <v>8837</v>
      </c>
      <c r="Q18" s="3"/>
      <c r="R18" s="3"/>
      <c r="S18" s="6"/>
      <c r="T18" s="7"/>
      <c r="U18" s="7"/>
      <c r="V18" s="7"/>
      <c r="W18" s="7"/>
      <c r="X18" s="7"/>
      <c r="Y18" s="7"/>
      <c r="Z18" s="7"/>
      <c r="AA18" s="7"/>
      <c r="AB18" s="7"/>
      <c r="AC18" s="7"/>
      <c r="AD18" s="7"/>
      <c r="AE18" s="8"/>
      <c r="AF18" s="8"/>
      <c r="AG18" s="6"/>
    </row>
    <row r="19" spans="1:33" ht="19.7" customHeight="1" x14ac:dyDescent="0.25">
      <c r="A19" s="6">
        <f t="shared" si="1"/>
        <v>39970</v>
      </c>
      <c r="B19" s="7">
        <f t="shared" si="0"/>
        <v>152717</v>
      </c>
      <c r="C19" s="7">
        <v>108951</v>
      </c>
      <c r="D19" s="7">
        <v>400</v>
      </c>
      <c r="E19" s="7">
        <v>393</v>
      </c>
      <c r="F19" s="7">
        <v>28560</v>
      </c>
      <c r="G19" s="7">
        <v>8119</v>
      </c>
      <c r="H19" s="7">
        <v>0</v>
      </c>
      <c r="I19" s="7">
        <v>0</v>
      </c>
      <c r="J19" s="7">
        <v>6294</v>
      </c>
      <c r="K19" s="7"/>
      <c r="L19" s="7"/>
      <c r="M19" s="8"/>
      <c r="N19" s="8"/>
      <c r="O19" s="7">
        <v>8144</v>
      </c>
      <c r="Q19" s="3"/>
      <c r="R19" s="3"/>
      <c r="S19" s="6"/>
      <c r="T19" s="7"/>
      <c r="U19" s="7"/>
      <c r="V19" s="7"/>
      <c r="W19" s="7"/>
      <c r="X19" s="7"/>
      <c r="Y19" s="7"/>
      <c r="Z19" s="7"/>
      <c r="AA19" s="7"/>
      <c r="AB19" s="7"/>
      <c r="AC19" s="7"/>
      <c r="AD19" s="7"/>
      <c r="AE19" s="8"/>
      <c r="AF19" s="8"/>
      <c r="AG19" s="6"/>
    </row>
    <row r="20" spans="1:33" ht="19.7" customHeight="1" x14ac:dyDescent="0.25">
      <c r="A20" s="6">
        <f t="shared" si="1"/>
        <v>39977</v>
      </c>
      <c r="B20" s="7">
        <f t="shared" si="0"/>
        <v>154192</v>
      </c>
      <c r="C20" s="7">
        <v>110143</v>
      </c>
      <c r="D20" s="7">
        <v>456</v>
      </c>
      <c r="E20" s="7">
        <v>337</v>
      </c>
      <c r="F20" s="7">
        <v>28772</v>
      </c>
      <c r="G20" s="7">
        <v>8505</v>
      </c>
      <c r="H20" s="7">
        <v>0</v>
      </c>
      <c r="I20" s="7">
        <v>0</v>
      </c>
      <c r="J20" s="7">
        <v>5979</v>
      </c>
      <c r="K20" s="7"/>
      <c r="L20" s="7"/>
      <c r="M20" s="8"/>
      <c r="N20" s="8"/>
      <c r="O20" s="7">
        <v>9748</v>
      </c>
      <c r="Q20" s="3"/>
      <c r="R20" s="3"/>
      <c r="S20" s="6"/>
      <c r="T20" s="7"/>
      <c r="U20" s="7"/>
      <c r="V20" s="7"/>
      <c r="W20" s="7"/>
      <c r="X20" s="7"/>
      <c r="Y20" s="7"/>
      <c r="Z20" s="7"/>
      <c r="AA20" s="7"/>
      <c r="AB20" s="7"/>
      <c r="AC20" s="7"/>
      <c r="AD20" s="7"/>
      <c r="AE20" s="8"/>
      <c r="AF20" s="8"/>
      <c r="AG20" s="6"/>
    </row>
    <row r="21" spans="1:33" ht="19.7" customHeight="1" x14ac:dyDescent="0.25">
      <c r="A21" s="6">
        <f t="shared" si="1"/>
        <v>39984</v>
      </c>
      <c r="B21" s="7">
        <f t="shared" si="0"/>
        <v>158150</v>
      </c>
      <c r="C21" s="7">
        <v>111770</v>
      </c>
      <c r="D21" s="7">
        <v>543</v>
      </c>
      <c r="E21" s="7">
        <v>371</v>
      </c>
      <c r="F21" s="7">
        <v>30136</v>
      </c>
      <c r="G21" s="7">
        <v>8831</v>
      </c>
      <c r="H21" s="7">
        <v>0</v>
      </c>
      <c r="I21" s="7">
        <v>0</v>
      </c>
      <c r="J21" s="7">
        <v>6499</v>
      </c>
      <c r="K21" s="7"/>
      <c r="L21" s="7"/>
      <c r="M21" s="8"/>
      <c r="N21" s="8"/>
      <c r="O21" s="7">
        <v>9230</v>
      </c>
      <c r="Q21" s="3"/>
      <c r="R21" s="3"/>
      <c r="S21" s="6"/>
      <c r="T21" s="7"/>
      <c r="U21" s="7"/>
      <c r="V21" s="7"/>
      <c r="W21" s="7"/>
      <c r="X21" s="7"/>
      <c r="Y21" s="7"/>
      <c r="Z21" s="7"/>
      <c r="AA21" s="7"/>
      <c r="AB21" s="7"/>
      <c r="AC21" s="7"/>
      <c r="AD21" s="7"/>
      <c r="AE21" s="8"/>
      <c r="AF21" s="8"/>
      <c r="AG21" s="6"/>
    </row>
    <row r="22" spans="1:33" ht="19.7" customHeight="1" x14ac:dyDescent="0.25">
      <c r="A22" s="6">
        <f t="shared" si="1"/>
        <v>39991</v>
      </c>
      <c r="B22" s="7">
        <f t="shared" si="0"/>
        <v>158207</v>
      </c>
      <c r="C22" s="7">
        <v>111449</v>
      </c>
      <c r="D22" s="7">
        <v>530</v>
      </c>
      <c r="E22" s="7">
        <v>356</v>
      </c>
      <c r="F22" s="7">
        <v>30623</v>
      </c>
      <c r="G22" s="7">
        <v>8933</v>
      </c>
      <c r="H22" s="7">
        <v>0</v>
      </c>
      <c r="I22" s="7">
        <v>0</v>
      </c>
      <c r="J22" s="7">
        <v>6316</v>
      </c>
      <c r="K22" s="7"/>
      <c r="L22" s="7"/>
      <c r="M22" s="8"/>
      <c r="N22" s="8"/>
      <c r="O22" s="7">
        <v>8631</v>
      </c>
      <c r="Q22" s="3"/>
      <c r="R22" s="3"/>
      <c r="S22" s="6"/>
      <c r="T22" s="7"/>
      <c r="U22" s="7"/>
      <c r="V22" s="7"/>
      <c r="W22" s="7"/>
      <c r="X22" s="7"/>
      <c r="Y22" s="7"/>
      <c r="Z22" s="7"/>
      <c r="AA22" s="7"/>
      <c r="AB22" s="7"/>
      <c r="AC22" s="7"/>
      <c r="AD22" s="7"/>
      <c r="AE22" s="8"/>
      <c r="AF22" s="8"/>
      <c r="AG22" s="6"/>
    </row>
    <row r="23" spans="1:33" ht="19.7" customHeight="1" x14ac:dyDescent="0.25">
      <c r="A23" s="6">
        <f t="shared" si="1"/>
        <v>39998</v>
      </c>
      <c r="B23" s="7">
        <f t="shared" si="0"/>
        <v>156581</v>
      </c>
      <c r="C23" s="7">
        <v>110023</v>
      </c>
      <c r="D23" s="7">
        <v>540</v>
      </c>
      <c r="E23" s="7">
        <v>342</v>
      </c>
      <c r="F23" s="7">
        <v>31327</v>
      </c>
      <c r="G23" s="7">
        <v>9034</v>
      </c>
      <c r="H23" s="7">
        <v>0</v>
      </c>
      <c r="I23" s="7">
        <v>0</v>
      </c>
      <c r="J23" s="7">
        <v>5315</v>
      </c>
      <c r="K23" s="7"/>
      <c r="L23" s="7"/>
      <c r="M23" s="8"/>
      <c r="N23" s="8"/>
      <c r="O23" s="7">
        <v>8128</v>
      </c>
      <c r="Q23" s="3"/>
      <c r="R23" s="3"/>
      <c r="S23" s="6"/>
      <c r="T23" s="7"/>
      <c r="U23" s="7"/>
      <c r="V23" s="7"/>
      <c r="W23" s="7"/>
      <c r="X23" s="7"/>
      <c r="Y23" s="7"/>
      <c r="Z23" s="7"/>
      <c r="AA23" s="7"/>
      <c r="AB23" s="7"/>
      <c r="AC23" s="7"/>
      <c r="AD23" s="7"/>
      <c r="AE23" s="8"/>
      <c r="AF23" s="8"/>
      <c r="AG23" s="6"/>
    </row>
    <row r="24" spans="1:33" ht="19.7" customHeight="1" x14ac:dyDescent="0.25">
      <c r="A24" s="6">
        <f t="shared" si="1"/>
        <v>40005</v>
      </c>
      <c r="B24" s="7">
        <f t="shared" si="0"/>
        <v>160235</v>
      </c>
      <c r="C24" s="7">
        <v>112918</v>
      </c>
      <c r="D24" s="7">
        <v>589</v>
      </c>
      <c r="E24" s="7">
        <v>354</v>
      </c>
      <c r="F24" s="7">
        <v>31997</v>
      </c>
      <c r="G24" s="7">
        <v>9485</v>
      </c>
      <c r="H24" s="7">
        <v>0</v>
      </c>
      <c r="I24" s="7">
        <v>0</v>
      </c>
      <c r="J24" s="7">
        <v>4892</v>
      </c>
      <c r="K24" s="7"/>
      <c r="L24" s="7"/>
      <c r="M24" s="8"/>
      <c r="N24" s="8"/>
      <c r="O24" s="7">
        <v>11178</v>
      </c>
      <c r="Q24" s="3"/>
      <c r="R24" s="3"/>
      <c r="S24" s="6"/>
      <c r="T24" s="7"/>
      <c r="U24" s="7"/>
      <c r="V24" s="7"/>
      <c r="W24" s="7"/>
      <c r="X24" s="7"/>
      <c r="Y24" s="7"/>
      <c r="Z24" s="7"/>
      <c r="AA24" s="7"/>
      <c r="AB24" s="7"/>
      <c r="AC24" s="7"/>
      <c r="AD24" s="7"/>
      <c r="AE24" s="8"/>
      <c r="AF24" s="8"/>
      <c r="AG24" s="6"/>
    </row>
    <row r="25" spans="1:33" ht="19.7" customHeight="1" x14ac:dyDescent="0.25">
      <c r="A25" s="6">
        <f t="shared" si="1"/>
        <v>40012</v>
      </c>
      <c r="B25" s="7">
        <f t="shared" si="0"/>
        <v>168770</v>
      </c>
      <c r="C25" s="7">
        <v>115856</v>
      </c>
      <c r="D25" s="7">
        <v>628</v>
      </c>
      <c r="E25" s="7">
        <v>371</v>
      </c>
      <c r="F25" s="7">
        <v>32447</v>
      </c>
      <c r="G25" s="7">
        <v>9485</v>
      </c>
      <c r="H25" s="7">
        <v>0</v>
      </c>
      <c r="I25" s="7">
        <v>0</v>
      </c>
      <c r="J25" s="7">
        <v>9983</v>
      </c>
      <c r="K25" s="7"/>
      <c r="L25" s="7"/>
      <c r="M25" s="8"/>
      <c r="N25" s="8"/>
      <c r="O25" s="7">
        <v>9404</v>
      </c>
      <c r="Q25" s="3"/>
      <c r="R25" s="3"/>
      <c r="S25" s="6"/>
      <c r="T25" s="7"/>
      <c r="U25" s="7"/>
      <c r="V25" s="7"/>
      <c r="W25" s="7"/>
      <c r="X25" s="7"/>
      <c r="Y25" s="7"/>
      <c r="Z25" s="7"/>
      <c r="AA25" s="7"/>
      <c r="AB25" s="7"/>
      <c r="AC25" s="7"/>
      <c r="AD25" s="7"/>
      <c r="AE25" s="8"/>
      <c r="AF25" s="8"/>
      <c r="AG25" s="6"/>
    </row>
    <row r="26" spans="1:33" ht="19.7" customHeight="1" x14ac:dyDescent="0.25">
      <c r="A26" s="6">
        <f t="shared" si="1"/>
        <v>40019</v>
      </c>
      <c r="B26" s="7">
        <f t="shared" si="0"/>
        <v>174031</v>
      </c>
      <c r="C26" s="7">
        <v>116515</v>
      </c>
      <c r="D26" s="7">
        <v>667</v>
      </c>
      <c r="E26" s="7">
        <v>401</v>
      </c>
      <c r="F26" s="7">
        <v>33411</v>
      </c>
      <c r="G26" s="7">
        <v>9698</v>
      </c>
      <c r="H26" s="7">
        <v>0</v>
      </c>
      <c r="I26" s="7">
        <v>0</v>
      </c>
      <c r="J26" s="7">
        <v>13339</v>
      </c>
      <c r="K26" s="7"/>
      <c r="L26" s="7"/>
      <c r="M26" s="8"/>
      <c r="N26" s="8"/>
      <c r="O26" s="7">
        <v>8550</v>
      </c>
      <c r="Q26" s="3"/>
      <c r="R26" s="3"/>
      <c r="S26" s="6"/>
      <c r="T26" s="7"/>
      <c r="U26" s="7"/>
      <c r="V26" s="7"/>
      <c r="W26" s="7"/>
      <c r="X26" s="7"/>
      <c r="Y26" s="7"/>
      <c r="Z26" s="7"/>
      <c r="AA26" s="7"/>
      <c r="AB26" s="7"/>
      <c r="AC26" s="7"/>
      <c r="AD26" s="7"/>
      <c r="AE26" s="8"/>
      <c r="AF26" s="8"/>
      <c r="AG26" s="6"/>
    </row>
    <row r="27" spans="1:33" ht="19.7" customHeight="1" x14ac:dyDescent="0.25">
      <c r="A27" s="6">
        <f t="shared" si="1"/>
        <v>40026</v>
      </c>
      <c r="B27" s="7">
        <f t="shared" si="0"/>
        <v>173145</v>
      </c>
      <c r="C27" s="7">
        <v>116601</v>
      </c>
      <c r="D27" s="7">
        <v>679</v>
      </c>
      <c r="E27" s="7">
        <v>453</v>
      </c>
      <c r="F27" s="7">
        <v>34420</v>
      </c>
      <c r="G27" s="7">
        <v>9930</v>
      </c>
      <c r="H27" s="7">
        <v>0</v>
      </c>
      <c r="I27" s="7">
        <v>0</v>
      </c>
      <c r="J27" s="7">
        <v>11062</v>
      </c>
      <c r="K27" s="7"/>
      <c r="L27" s="7"/>
      <c r="M27" s="8"/>
      <c r="N27" s="8"/>
      <c r="O27" s="7">
        <v>7720</v>
      </c>
      <c r="Q27" s="3"/>
      <c r="R27" s="3"/>
      <c r="S27" s="6"/>
      <c r="T27" s="7"/>
      <c r="U27" s="7"/>
      <c r="V27" s="7"/>
      <c r="W27" s="7"/>
      <c r="X27" s="7"/>
      <c r="Y27" s="7"/>
      <c r="Z27" s="7"/>
      <c r="AA27" s="7"/>
      <c r="AB27" s="7"/>
      <c r="AC27" s="7"/>
      <c r="AD27" s="7"/>
      <c r="AE27" s="8"/>
      <c r="AF27" s="8"/>
      <c r="AG27" s="6"/>
    </row>
    <row r="28" spans="1:33" ht="19.7" customHeight="1" x14ac:dyDescent="0.25">
      <c r="A28" s="6">
        <f t="shared" si="1"/>
        <v>40033</v>
      </c>
      <c r="B28" s="7">
        <f t="shared" si="0"/>
        <v>171995</v>
      </c>
      <c r="C28" s="7">
        <v>114407</v>
      </c>
      <c r="D28" s="7">
        <v>599</v>
      </c>
      <c r="E28" s="7">
        <v>427</v>
      </c>
      <c r="F28" s="7">
        <v>35528</v>
      </c>
      <c r="G28" s="7">
        <v>10265</v>
      </c>
      <c r="H28" s="7">
        <v>0</v>
      </c>
      <c r="I28" s="7">
        <v>0</v>
      </c>
      <c r="J28" s="7">
        <v>10769</v>
      </c>
      <c r="K28" s="7"/>
      <c r="L28" s="7"/>
      <c r="M28" s="8"/>
      <c r="N28" s="8"/>
      <c r="O28" s="7">
        <v>7792</v>
      </c>
      <c r="Q28" s="3"/>
      <c r="R28" s="3"/>
      <c r="S28" s="6"/>
      <c r="T28" s="7"/>
      <c r="U28" s="7"/>
      <c r="V28" s="7"/>
      <c r="W28" s="7"/>
      <c r="X28" s="7"/>
      <c r="Y28" s="7"/>
      <c r="Z28" s="7"/>
      <c r="AA28" s="7"/>
      <c r="AB28" s="7"/>
      <c r="AC28" s="7"/>
      <c r="AD28" s="7"/>
      <c r="AE28" s="8"/>
      <c r="AF28" s="8"/>
      <c r="AG28" s="6"/>
    </row>
    <row r="29" spans="1:33" ht="19.7" customHeight="1" x14ac:dyDescent="0.25">
      <c r="A29" s="6">
        <f t="shared" si="1"/>
        <v>40040</v>
      </c>
      <c r="B29" s="7">
        <f t="shared" si="0"/>
        <v>174532</v>
      </c>
      <c r="C29" s="7">
        <v>113667</v>
      </c>
      <c r="D29" s="7">
        <v>461</v>
      </c>
      <c r="E29" s="7">
        <v>444</v>
      </c>
      <c r="F29" s="7">
        <v>36524</v>
      </c>
      <c r="G29" s="7">
        <v>10533</v>
      </c>
      <c r="H29" s="7">
        <v>0</v>
      </c>
      <c r="I29" s="7">
        <v>0</v>
      </c>
      <c r="J29" s="7">
        <v>12903</v>
      </c>
      <c r="K29" s="7"/>
      <c r="L29" s="7"/>
      <c r="M29" s="8"/>
      <c r="N29" s="8"/>
      <c r="O29" s="7">
        <v>7699</v>
      </c>
      <c r="Q29" s="3"/>
      <c r="R29" s="3"/>
      <c r="S29" s="6"/>
      <c r="T29" s="7"/>
      <c r="U29" s="7"/>
      <c r="V29" s="7"/>
      <c r="W29" s="7"/>
      <c r="X29" s="7"/>
      <c r="Y29" s="7"/>
      <c r="Z29" s="7"/>
      <c r="AA29" s="7"/>
      <c r="AB29" s="7"/>
      <c r="AC29" s="7"/>
      <c r="AD29" s="7"/>
      <c r="AE29" s="8"/>
      <c r="AF29" s="8"/>
      <c r="AG29" s="6"/>
    </row>
    <row r="30" spans="1:33" ht="19.7" customHeight="1" x14ac:dyDescent="0.25">
      <c r="A30" s="6">
        <f t="shared" si="1"/>
        <v>40047</v>
      </c>
      <c r="B30" s="7">
        <f t="shared" si="0"/>
        <v>174907</v>
      </c>
      <c r="C30" s="7">
        <v>111280</v>
      </c>
      <c r="D30" s="7">
        <v>415</v>
      </c>
      <c r="E30" s="7">
        <v>442</v>
      </c>
      <c r="F30" s="7">
        <v>38423</v>
      </c>
      <c r="G30" s="7">
        <v>10947</v>
      </c>
      <c r="H30" s="7">
        <v>0</v>
      </c>
      <c r="I30" s="7">
        <v>0</v>
      </c>
      <c r="J30" s="7">
        <v>13400</v>
      </c>
      <c r="K30" s="7"/>
      <c r="L30" s="7"/>
      <c r="M30" s="8"/>
      <c r="N30" s="8"/>
      <c r="O30" s="7">
        <v>7783</v>
      </c>
      <c r="Q30" s="3"/>
      <c r="R30" s="3"/>
      <c r="S30" s="6"/>
      <c r="T30" s="7"/>
      <c r="U30" s="7"/>
      <c r="V30" s="7"/>
      <c r="W30" s="7"/>
      <c r="X30" s="7"/>
      <c r="Y30" s="7"/>
      <c r="Z30" s="7"/>
      <c r="AA30" s="7"/>
      <c r="AB30" s="7"/>
      <c r="AC30" s="7"/>
      <c r="AD30" s="7"/>
      <c r="AE30" s="8"/>
      <c r="AF30" s="8"/>
      <c r="AG30" s="6"/>
    </row>
    <row r="31" spans="1:33" ht="19.7" customHeight="1" x14ac:dyDescent="0.25">
      <c r="A31" s="6">
        <f t="shared" si="1"/>
        <v>40054</v>
      </c>
      <c r="B31" s="7">
        <f t="shared" si="0"/>
        <v>176547</v>
      </c>
      <c r="C31" s="7">
        <v>110822</v>
      </c>
      <c r="D31" s="7">
        <v>361</v>
      </c>
      <c r="E31" s="7">
        <v>451</v>
      </c>
      <c r="F31" s="7">
        <v>39963</v>
      </c>
      <c r="G31" s="7">
        <v>11444</v>
      </c>
      <c r="H31" s="7">
        <v>0</v>
      </c>
      <c r="I31" s="7">
        <v>0</v>
      </c>
      <c r="J31" s="7">
        <v>13506</v>
      </c>
      <c r="K31" s="7"/>
      <c r="L31" s="7"/>
      <c r="M31" s="8"/>
      <c r="N31" s="8"/>
      <c r="O31" s="7">
        <v>7621</v>
      </c>
      <c r="Q31" s="3"/>
      <c r="R31" s="3"/>
      <c r="S31" s="6"/>
      <c r="T31" s="7"/>
      <c r="U31" s="7"/>
      <c r="V31" s="7"/>
      <c r="W31" s="7"/>
      <c r="X31" s="7"/>
      <c r="Y31" s="7"/>
      <c r="Z31" s="7"/>
      <c r="AA31" s="7"/>
      <c r="AB31" s="7"/>
      <c r="AC31" s="7"/>
      <c r="AD31" s="7"/>
      <c r="AE31" s="8"/>
      <c r="AF31" s="8"/>
      <c r="AG31" s="6"/>
    </row>
    <row r="32" spans="1:33" ht="19.7" customHeight="1" x14ac:dyDescent="0.25">
      <c r="A32" s="6">
        <f t="shared" si="1"/>
        <v>40061</v>
      </c>
      <c r="B32" s="7">
        <f t="shared" si="0"/>
        <v>175944</v>
      </c>
      <c r="C32" s="7">
        <v>109385</v>
      </c>
      <c r="D32" s="7">
        <v>314</v>
      </c>
      <c r="E32" s="7">
        <v>448</v>
      </c>
      <c r="F32" s="7">
        <v>41073</v>
      </c>
      <c r="G32" s="7">
        <v>11910</v>
      </c>
      <c r="H32" s="7">
        <v>0</v>
      </c>
      <c r="I32" s="7">
        <v>0</v>
      </c>
      <c r="J32" s="7">
        <v>12814</v>
      </c>
      <c r="K32" s="7"/>
      <c r="L32" s="7"/>
      <c r="M32" s="8"/>
      <c r="N32" s="8"/>
      <c r="O32" s="7">
        <v>7716</v>
      </c>
      <c r="Q32" s="3"/>
      <c r="R32" s="3"/>
      <c r="S32" s="6"/>
      <c r="T32" s="7"/>
      <c r="U32" s="7"/>
      <c r="V32" s="7"/>
      <c r="W32" s="7"/>
      <c r="X32" s="7"/>
      <c r="Y32" s="7"/>
      <c r="Z32" s="7"/>
      <c r="AA32" s="7"/>
      <c r="AB32" s="7"/>
      <c r="AC32" s="7"/>
      <c r="AD32" s="7"/>
      <c r="AE32" s="8"/>
      <c r="AF32" s="8"/>
      <c r="AG32" s="6"/>
    </row>
    <row r="33" spans="1:33" ht="19.7" customHeight="1" x14ac:dyDescent="0.25">
      <c r="A33" s="6">
        <f t="shared" si="1"/>
        <v>40068</v>
      </c>
      <c r="B33" s="7">
        <f t="shared" si="0"/>
        <v>174012</v>
      </c>
      <c r="C33" s="7">
        <v>106704</v>
      </c>
      <c r="D33" s="7">
        <v>326</v>
      </c>
      <c r="E33" s="7">
        <v>466</v>
      </c>
      <c r="F33" s="7">
        <v>41548</v>
      </c>
      <c r="G33" s="7">
        <v>12095</v>
      </c>
      <c r="H33" s="7">
        <v>0</v>
      </c>
      <c r="I33" s="7">
        <v>0</v>
      </c>
      <c r="J33" s="7">
        <v>12873</v>
      </c>
      <c r="K33" s="7"/>
      <c r="L33" s="7"/>
      <c r="M33" s="8"/>
      <c r="N33" s="8"/>
      <c r="O33" s="7">
        <v>6427</v>
      </c>
      <c r="Q33" s="3"/>
      <c r="R33" s="3"/>
      <c r="S33" s="6"/>
      <c r="T33" s="7"/>
      <c r="U33" s="7"/>
      <c r="V33" s="7"/>
      <c r="W33" s="7"/>
      <c r="X33" s="7"/>
      <c r="Y33" s="7"/>
      <c r="Z33" s="7"/>
      <c r="AA33" s="7"/>
      <c r="AB33" s="7"/>
      <c r="AC33" s="7"/>
      <c r="AD33" s="7"/>
      <c r="AE33" s="8"/>
      <c r="AF33" s="8"/>
      <c r="AG33" s="6"/>
    </row>
    <row r="34" spans="1:33" ht="19.7" customHeight="1" x14ac:dyDescent="0.25">
      <c r="A34" s="6">
        <f t="shared" si="1"/>
        <v>40075</v>
      </c>
      <c r="B34" s="7">
        <f t="shared" si="0"/>
        <v>177586</v>
      </c>
      <c r="C34" s="7">
        <v>106876</v>
      </c>
      <c r="D34" s="7">
        <v>311</v>
      </c>
      <c r="E34" s="7">
        <v>464</v>
      </c>
      <c r="F34" s="7">
        <v>42837</v>
      </c>
      <c r="G34" s="7">
        <v>12957</v>
      </c>
      <c r="H34" s="7">
        <v>0</v>
      </c>
      <c r="I34" s="7">
        <v>0</v>
      </c>
      <c r="J34" s="7">
        <v>14141</v>
      </c>
      <c r="K34" s="7"/>
      <c r="L34" s="7"/>
      <c r="M34" s="8"/>
      <c r="N34" s="8"/>
      <c r="O34" s="7">
        <v>7079</v>
      </c>
      <c r="Q34" s="3"/>
      <c r="R34" s="3"/>
      <c r="S34" s="6"/>
      <c r="T34" s="7"/>
      <c r="U34" s="7"/>
      <c r="V34" s="7"/>
      <c r="W34" s="7"/>
      <c r="X34" s="7"/>
      <c r="Y34" s="7"/>
      <c r="Z34" s="7"/>
      <c r="AA34" s="7"/>
      <c r="AB34" s="7"/>
      <c r="AC34" s="7"/>
      <c r="AD34" s="7"/>
      <c r="AE34" s="8"/>
      <c r="AF34" s="8"/>
      <c r="AG34" s="6"/>
    </row>
    <row r="35" spans="1:33" ht="19.7" customHeight="1" x14ac:dyDescent="0.25">
      <c r="A35" s="6">
        <f t="shared" si="1"/>
        <v>40082</v>
      </c>
      <c r="B35" s="7">
        <f t="shared" si="0"/>
        <v>177157</v>
      </c>
      <c r="C35" s="7">
        <v>105159</v>
      </c>
      <c r="D35" s="7">
        <v>338</v>
      </c>
      <c r="E35" s="7">
        <v>518</v>
      </c>
      <c r="F35" s="7">
        <v>43509</v>
      </c>
      <c r="G35" s="7">
        <v>13387</v>
      </c>
      <c r="H35" s="7">
        <v>0</v>
      </c>
      <c r="I35" s="7">
        <v>0</v>
      </c>
      <c r="J35" s="7">
        <v>14246</v>
      </c>
      <c r="K35" s="7"/>
      <c r="L35" s="7"/>
      <c r="M35" s="8"/>
      <c r="N35" s="8"/>
      <c r="O35" s="7">
        <v>7286</v>
      </c>
      <c r="Q35" s="3"/>
      <c r="R35" s="3"/>
      <c r="S35" s="6"/>
      <c r="T35" s="7"/>
      <c r="U35" s="7"/>
      <c r="V35" s="7"/>
      <c r="W35" s="7"/>
      <c r="X35" s="7"/>
      <c r="Y35" s="7"/>
      <c r="Z35" s="7"/>
      <c r="AA35" s="7"/>
      <c r="AB35" s="7"/>
      <c r="AC35" s="7"/>
      <c r="AD35" s="7"/>
      <c r="AE35" s="8"/>
      <c r="AF35" s="8"/>
      <c r="AG35" s="6"/>
    </row>
    <row r="36" spans="1:33" ht="19.7" customHeight="1" x14ac:dyDescent="0.25">
      <c r="A36" s="6">
        <f t="shared" si="1"/>
        <v>40089</v>
      </c>
      <c r="B36" s="7">
        <f t="shared" ref="B36:B67" si="2">SUM(C36:J36)</f>
        <v>176175</v>
      </c>
      <c r="C36" s="7">
        <v>104228</v>
      </c>
      <c r="D36" s="7">
        <v>344</v>
      </c>
      <c r="E36" s="7">
        <v>453</v>
      </c>
      <c r="F36" s="7">
        <v>44153</v>
      </c>
      <c r="G36" s="7">
        <v>13796</v>
      </c>
      <c r="H36" s="7">
        <v>0</v>
      </c>
      <c r="I36" s="7">
        <v>0</v>
      </c>
      <c r="J36" s="7">
        <v>13201</v>
      </c>
      <c r="K36" s="7"/>
      <c r="L36" s="7"/>
      <c r="M36" s="8"/>
      <c r="N36" s="8"/>
      <c r="O36" s="7">
        <v>7933</v>
      </c>
      <c r="Q36" s="3"/>
      <c r="R36" s="3"/>
      <c r="S36" s="6"/>
      <c r="T36" s="7"/>
      <c r="U36" s="7"/>
      <c r="V36" s="7"/>
      <c r="W36" s="7"/>
      <c r="X36" s="7"/>
      <c r="Y36" s="7"/>
      <c r="Z36" s="7"/>
      <c r="AA36" s="7"/>
      <c r="AB36" s="7"/>
      <c r="AC36" s="7"/>
      <c r="AD36" s="7"/>
      <c r="AE36" s="8"/>
      <c r="AF36" s="8"/>
      <c r="AG36" s="6"/>
    </row>
    <row r="37" spans="1:33" ht="19.7" customHeight="1" x14ac:dyDescent="0.25">
      <c r="A37" s="6">
        <f t="shared" si="1"/>
        <v>40096</v>
      </c>
      <c r="B37" s="7">
        <f t="shared" si="2"/>
        <v>174831</v>
      </c>
      <c r="C37" s="7">
        <v>102733</v>
      </c>
      <c r="D37" s="7">
        <v>320</v>
      </c>
      <c r="E37" s="7">
        <v>453</v>
      </c>
      <c r="F37" s="7">
        <v>44255</v>
      </c>
      <c r="G37" s="7">
        <v>14354</v>
      </c>
      <c r="H37" s="7">
        <v>0</v>
      </c>
      <c r="I37" s="7">
        <v>0</v>
      </c>
      <c r="J37" s="7">
        <v>12716</v>
      </c>
      <c r="K37" s="7"/>
      <c r="L37" s="7"/>
      <c r="M37" s="8"/>
      <c r="N37" s="8"/>
      <c r="O37" s="7">
        <v>8091</v>
      </c>
      <c r="Q37" s="3"/>
      <c r="R37" s="3"/>
      <c r="S37" s="6"/>
      <c r="T37" s="7"/>
      <c r="U37" s="7"/>
      <c r="V37" s="7"/>
      <c r="W37" s="7"/>
      <c r="X37" s="7"/>
      <c r="Y37" s="7"/>
      <c r="Z37" s="7"/>
      <c r="AA37" s="7"/>
      <c r="AB37" s="7"/>
      <c r="AC37" s="7"/>
      <c r="AD37" s="7"/>
      <c r="AE37" s="8"/>
      <c r="AF37" s="8"/>
      <c r="AG37" s="6"/>
    </row>
    <row r="38" spans="1:33" ht="19.7" customHeight="1" x14ac:dyDescent="0.25">
      <c r="A38" s="6">
        <f t="shared" si="1"/>
        <v>40103</v>
      </c>
      <c r="B38" s="7">
        <f t="shared" si="2"/>
        <v>173394</v>
      </c>
      <c r="C38" s="7">
        <v>101260</v>
      </c>
      <c r="D38" s="7">
        <v>345</v>
      </c>
      <c r="E38" s="7">
        <v>449</v>
      </c>
      <c r="F38" s="7">
        <v>44683</v>
      </c>
      <c r="G38" s="7">
        <v>14650</v>
      </c>
      <c r="H38" s="7">
        <v>0</v>
      </c>
      <c r="I38" s="7">
        <v>0</v>
      </c>
      <c r="J38" s="7">
        <v>12007</v>
      </c>
      <c r="K38" s="7"/>
      <c r="L38" s="7"/>
      <c r="M38" s="8"/>
      <c r="N38" s="8"/>
      <c r="O38" s="7">
        <v>7100</v>
      </c>
      <c r="Q38" s="3"/>
      <c r="R38" s="3"/>
      <c r="S38" s="6"/>
      <c r="T38" s="7"/>
      <c r="U38" s="7"/>
      <c r="V38" s="7"/>
      <c r="W38" s="7"/>
      <c r="X38" s="7"/>
      <c r="Y38" s="7"/>
      <c r="Z38" s="7"/>
      <c r="AA38" s="7"/>
      <c r="AB38" s="7"/>
      <c r="AC38" s="7"/>
      <c r="AD38" s="7"/>
      <c r="AE38" s="8"/>
      <c r="AF38" s="8"/>
      <c r="AG38" s="6"/>
    </row>
    <row r="39" spans="1:33" ht="19.7" customHeight="1" x14ac:dyDescent="0.25">
      <c r="A39" s="6">
        <f t="shared" si="1"/>
        <v>40110</v>
      </c>
      <c r="B39" s="7">
        <f t="shared" si="2"/>
        <v>175594</v>
      </c>
      <c r="C39" s="7">
        <v>101970</v>
      </c>
      <c r="D39" s="7">
        <v>378</v>
      </c>
      <c r="E39" s="7">
        <v>447</v>
      </c>
      <c r="F39" s="7">
        <v>45100</v>
      </c>
      <c r="G39" s="7">
        <v>15267</v>
      </c>
      <c r="H39" s="7">
        <v>0</v>
      </c>
      <c r="I39" s="7">
        <v>0</v>
      </c>
      <c r="J39" s="7">
        <v>12432</v>
      </c>
      <c r="K39" s="7"/>
      <c r="L39" s="7"/>
      <c r="M39" s="8"/>
      <c r="N39" s="8"/>
      <c r="O39" s="7">
        <v>7302</v>
      </c>
      <c r="Q39" s="3"/>
      <c r="R39" s="3"/>
      <c r="S39" s="6"/>
      <c r="T39" s="7"/>
      <c r="U39" s="7"/>
      <c r="V39" s="7"/>
      <c r="W39" s="7"/>
      <c r="X39" s="7"/>
      <c r="Y39" s="7"/>
      <c r="Z39" s="7"/>
      <c r="AA39" s="7"/>
      <c r="AB39" s="7"/>
      <c r="AC39" s="7"/>
      <c r="AD39" s="7"/>
      <c r="AE39" s="8"/>
      <c r="AF39" s="8"/>
      <c r="AG39" s="6"/>
    </row>
    <row r="40" spans="1:33" ht="19.7" customHeight="1" x14ac:dyDescent="0.25">
      <c r="A40" s="6">
        <f t="shared" si="1"/>
        <v>40117</v>
      </c>
      <c r="B40" s="7">
        <f t="shared" si="2"/>
        <v>175510</v>
      </c>
      <c r="C40" s="7">
        <v>100626</v>
      </c>
      <c r="D40" s="7">
        <v>369</v>
      </c>
      <c r="E40" s="7">
        <v>457</v>
      </c>
      <c r="F40" s="7">
        <v>45856</v>
      </c>
      <c r="G40" s="7">
        <v>15875</v>
      </c>
      <c r="H40" s="7">
        <v>0</v>
      </c>
      <c r="I40" s="7">
        <v>0</v>
      </c>
      <c r="J40" s="7">
        <v>12327</v>
      </c>
      <c r="K40" s="7"/>
      <c r="L40" s="7"/>
      <c r="M40" s="8"/>
      <c r="N40" s="8"/>
      <c r="O40" s="7">
        <v>6940</v>
      </c>
      <c r="Q40" s="3"/>
      <c r="R40" s="3"/>
      <c r="S40" s="6"/>
      <c r="T40" s="7"/>
      <c r="U40" s="7"/>
      <c r="V40" s="7"/>
      <c r="W40" s="7"/>
      <c r="X40" s="7"/>
      <c r="Y40" s="7"/>
      <c r="Z40" s="7"/>
      <c r="AA40" s="7"/>
      <c r="AB40" s="7"/>
      <c r="AC40" s="7"/>
      <c r="AD40" s="7"/>
      <c r="AE40" s="8"/>
      <c r="AF40" s="8"/>
      <c r="AG40" s="6"/>
    </row>
    <row r="41" spans="1:33" ht="19.7" customHeight="1" x14ac:dyDescent="0.25">
      <c r="A41" s="6">
        <f t="shared" si="1"/>
        <v>40124</v>
      </c>
      <c r="B41" s="7">
        <f t="shared" si="2"/>
        <v>174541</v>
      </c>
      <c r="C41" s="7">
        <v>98785</v>
      </c>
      <c r="D41" s="7">
        <v>401</v>
      </c>
      <c r="E41" s="7">
        <v>491</v>
      </c>
      <c r="F41" s="7">
        <v>46022</v>
      </c>
      <c r="G41" s="7">
        <v>16356</v>
      </c>
      <c r="H41" s="7">
        <v>0</v>
      </c>
      <c r="I41" s="7">
        <v>0</v>
      </c>
      <c r="J41" s="7">
        <v>12486</v>
      </c>
      <c r="K41" s="7"/>
      <c r="L41" s="7"/>
      <c r="M41" s="8"/>
      <c r="N41" s="8"/>
      <c r="O41" s="7">
        <v>7103</v>
      </c>
      <c r="Q41" s="3"/>
      <c r="R41" s="3"/>
      <c r="S41" s="6"/>
      <c r="T41" s="7"/>
      <c r="U41" s="7"/>
      <c r="V41" s="7"/>
      <c r="W41" s="7"/>
      <c r="X41" s="7"/>
      <c r="Y41" s="7"/>
      <c r="Z41" s="7"/>
      <c r="AA41" s="7"/>
      <c r="AB41" s="7"/>
      <c r="AC41" s="7"/>
      <c r="AD41" s="7"/>
      <c r="AE41" s="8"/>
      <c r="AF41" s="8"/>
      <c r="AG41" s="6"/>
    </row>
    <row r="42" spans="1:33" ht="19.7" customHeight="1" x14ac:dyDescent="0.25">
      <c r="A42" s="6">
        <f t="shared" si="1"/>
        <v>40131</v>
      </c>
      <c r="B42" s="7">
        <f t="shared" si="2"/>
        <v>172980</v>
      </c>
      <c r="C42" s="7">
        <v>97135</v>
      </c>
      <c r="D42" s="7">
        <v>427</v>
      </c>
      <c r="E42" s="7">
        <v>451</v>
      </c>
      <c r="F42" s="7">
        <v>45828</v>
      </c>
      <c r="G42" s="7">
        <v>16771</v>
      </c>
      <c r="H42" s="7">
        <v>0</v>
      </c>
      <c r="I42" s="7">
        <v>0</v>
      </c>
      <c r="J42" s="7">
        <v>12368</v>
      </c>
      <c r="K42" s="7"/>
      <c r="L42" s="7"/>
      <c r="M42" s="8"/>
      <c r="N42" s="8"/>
      <c r="O42" s="7">
        <v>7098</v>
      </c>
      <c r="Q42" s="3"/>
      <c r="R42" s="3"/>
      <c r="S42" s="6"/>
      <c r="T42" s="7"/>
      <c r="U42" s="7"/>
      <c r="V42" s="7"/>
      <c r="W42" s="7"/>
      <c r="X42" s="7"/>
      <c r="Y42" s="7"/>
      <c r="Z42" s="7"/>
      <c r="AA42" s="7"/>
      <c r="AB42" s="7"/>
      <c r="AC42" s="7"/>
      <c r="AD42" s="7"/>
      <c r="AE42" s="8"/>
      <c r="AF42" s="8"/>
      <c r="AG42" s="6"/>
    </row>
    <row r="43" spans="1:33" ht="19.7" customHeight="1" x14ac:dyDescent="0.25">
      <c r="A43" s="6">
        <f t="shared" si="1"/>
        <v>40138</v>
      </c>
      <c r="B43" s="7">
        <f t="shared" si="2"/>
        <v>184864</v>
      </c>
      <c r="C43" s="7">
        <v>98270</v>
      </c>
      <c r="D43" s="7">
        <v>405</v>
      </c>
      <c r="E43" s="7">
        <v>488</v>
      </c>
      <c r="F43" s="7">
        <v>46917</v>
      </c>
      <c r="G43" s="7">
        <v>20794</v>
      </c>
      <c r="H43" s="7">
        <v>0</v>
      </c>
      <c r="I43" s="7">
        <v>0</v>
      </c>
      <c r="J43" s="7">
        <v>17990</v>
      </c>
      <c r="K43" s="7"/>
      <c r="L43" s="7"/>
      <c r="M43" s="8"/>
      <c r="N43" s="8"/>
      <c r="O43" s="7">
        <v>7368</v>
      </c>
      <c r="Q43" s="3"/>
      <c r="R43" s="3"/>
      <c r="S43" s="6"/>
      <c r="T43" s="7"/>
      <c r="U43" s="7"/>
      <c r="V43" s="7"/>
      <c r="W43" s="7"/>
      <c r="X43" s="7"/>
      <c r="Y43" s="7"/>
      <c r="Z43" s="7"/>
      <c r="AA43" s="7"/>
      <c r="AB43" s="7"/>
      <c r="AC43" s="7"/>
      <c r="AD43" s="7"/>
      <c r="AE43" s="8"/>
      <c r="AF43" s="8"/>
      <c r="AG43" s="6"/>
    </row>
    <row r="44" spans="1:33" ht="19.7" customHeight="1" x14ac:dyDescent="0.25">
      <c r="A44" s="6">
        <f t="shared" si="1"/>
        <v>40145</v>
      </c>
      <c r="B44" s="7">
        <f t="shared" si="2"/>
        <v>181289</v>
      </c>
      <c r="C44" s="7">
        <v>93007</v>
      </c>
      <c r="D44" s="7">
        <v>428</v>
      </c>
      <c r="E44" s="7">
        <v>469</v>
      </c>
      <c r="F44" s="7">
        <v>46846</v>
      </c>
      <c r="G44" s="7">
        <v>18103</v>
      </c>
      <c r="H44" s="7">
        <v>19782</v>
      </c>
      <c r="I44" s="7">
        <v>0</v>
      </c>
      <c r="J44" s="7">
        <v>2654</v>
      </c>
      <c r="K44" s="7"/>
      <c r="L44" s="7"/>
      <c r="M44" s="8"/>
      <c r="N44" s="8"/>
      <c r="O44" s="7">
        <v>5261</v>
      </c>
      <c r="Q44" s="3"/>
      <c r="R44" s="3"/>
      <c r="S44" s="6"/>
      <c r="T44" s="7"/>
      <c r="U44" s="7"/>
      <c r="V44" s="7"/>
      <c r="W44" s="7"/>
      <c r="X44" s="7"/>
      <c r="Y44" s="7"/>
      <c r="Z44" s="7"/>
      <c r="AA44" s="7"/>
      <c r="AB44" s="7"/>
      <c r="AC44" s="7"/>
      <c r="AD44" s="7"/>
      <c r="AE44" s="8"/>
      <c r="AF44" s="8"/>
      <c r="AG44" s="6"/>
    </row>
    <row r="45" spans="1:33" ht="19.7" customHeight="1" x14ac:dyDescent="0.25">
      <c r="A45" s="6">
        <f t="shared" si="1"/>
        <v>40152</v>
      </c>
      <c r="B45" s="7">
        <f t="shared" si="2"/>
        <v>191367</v>
      </c>
      <c r="C45" s="7">
        <v>97266</v>
      </c>
      <c r="D45" s="7">
        <v>453</v>
      </c>
      <c r="E45" s="7">
        <v>509</v>
      </c>
      <c r="F45" s="7">
        <v>48405</v>
      </c>
      <c r="G45" s="7">
        <v>18442</v>
      </c>
      <c r="H45" s="7">
        <v>24161</v>
      </c>
      <c r="I45" s="7">
        <v>0</v>
      </c>
      <c r="J45" s="7">
        <v>2131</v>
      </c>
      <c r="K45" s="7"/>
      <c r="L45" s="7"/>
      <c r="M45" s="8"/>
      <c r="N45" s="8"/>
      <c r="O45" s="7">
        <v>7580</v>
      </c>
      <c r="Q45" s="3"/>
      <c r="R45" s="3"/>
      <c r="S45" s="6"/>
      <c r="T45" s="7"/>
      <c r="U45" s="7"/>
      <c r="V45" s="7"/>
      <c r="W45" s="7"/>
      <c r="X45" s="7"/>
      <c r="Y45" s="7"/>
      <c r="Z45" s="7"/>
      <c r="AA45" s="7"/>
      <c r="AB45" s="7"/>
      <c r="AC45" s="7"/>
      <c r="AD45" s="7"/>
      <c r="AE45" s="8"/>
      <c r="AF45" s="8"/>
      <c r="AG45" s="6"/>
    </row>
    <row r="46" spans="1:33" ht="19.7" customHeight="1" x14ac:dyDescent="0.25">
      <c r="A46" s="6">
        <f t="shared" si="1"/>
        <v>40159</v>
      </c>
      <c r="B46" s="7">
        <f t="shared" si="2"/>
        <v>185372</v>
      </c>
      <c r="C46" s="7">
        <v>92907</v>
      </c>
      <c r="D46" s="7">
        <v>464</v>
      </c>
      <c r="E46" s="7">
        <v>487</v>
      </c>
      <c r="F46" s="7">
        <v>46675</v>
      </c>
      <c r="G46" s="7">
        <v>17266</v>
      </c>
      <c r="H46" s="7">
        <v>26481</v>
      </c>
      <c r="I46" s="7">
        <v>0</v>
      </c>
      <c r="J46" s="7">
        <v>1092</v>
      </c>
      <c r="K46" s="7"/>
      <c r="L46" s="7"/>
      <c r="M46" s="8"/>
      <c r="N46" s="8"/>
      <c r="O46" s="7">
        <v>6823</v>
      </c>
      <c r="Q46" s="3"/>
      <c r="R46" s="3"/>
      <c r="S46" s="6"/>
      <c r="T46" s="7"/>
      <c r="U46" s="7"/>
      <c r="V46" s="7"/>
      <c r="W46" s="7"/>
      <c r="X46" s="7"/>
      <c r="Y46" s="7"/>
      <c r="Z46" s="7"/>
      <c r="AA46" s="7"/>
      <c r="AB46" s="7"/>
      <c r="AC46" s="7"/>
      <c r="AD46" s="7"/>
      <c r="AE46" s="8"/>
      <c r="AF46" s="8"/>
      <c r="AG46" s="6"/>
    </row>
    <row r="47" spans="1:33" ht="19.7" customHeight="1" x14ac:dyDescent="0.25">
      <c r="A47" s="6">
        <f t="shared" si="1"/>
        <v>40166</v>
      </c>
      <c r="B47" s="7">
        <f t="shared" si="2"/>
        <v>188053</v>
      </c>
      <c r="C47" s="7">
        <v>94529</v>
      </c>
      <c r="D47" s="7">
        <v>476</v>
      </c>
      <c r="E47" s="7">
        <v>548</v>
      </c>
      <c r="F47" s="7">
        <v>46853</v>
      </c>
      <c r="G47" s="7">
        <v>17344</v>
      </c>
      <c r="H47" s="7">
        <v>27541</v>
      </c>
      <c r="I47" s="7">
        <v>0</v>
      </c>
      <c r="J47" s="7">
        <v>762</v>
      </c>
      <c r="K47" s="7"/>
      <c r="L47" s="7"/>
      <c r="M47" s="8"/>
      <c r="N47" s="8"/>
      <c r="O47" s="7">
        <v>7034</v>
      </c>
      <c r="Q47" s="3"/>
      <c r="R47" s="3"/>
      <c r="S47" s="6"/>
      <c r="T47" s="7"/>
      <c r="U47" s="7"/>
      <c r="V47" s="7"/>
      <c r="W47" s="7"/>
      <c r="X47" s="7"/>
      <c r="Y47" s="7"/>
      <c r="Z47" s="7"/>
      <c r="AA47" s="7"/>
      <c r="AB47" s="7"/>
      <c r="AC47" s="7"/>
      <c r="AD47" s="7"/>
      <c r="AE47" s="8"/>
      <c r="AF47" s="8"/>
      <c r="AG47" s="6"/>
    </row>
    <row r="48" spans="1:33" ht="19.7" customHeight="1" x14ac:dyDescent="0.25">
      <c r="A48" s="6">
        <f t="shared" si="1"/>
        <v>40173</v>
      </c>
      <c r="B48" s="7">
        <f t="shared" si="2"/>
        <v>184738</v>
      </c>
      <c r="C48" s="7">
        <v>90971</v>
      </c>
      <c r="D48" s="7">
        <v>455</v>
      </c>
      <c r="E48" s="7">
        <v>467</v>
      </c>
      <c r="F48" s="7">
        <v>46514</v>
      </c>
      <c r="G48" s="7">
        <v>17533</v>
      </c>
      <c r="H48" s="7">
        <v>28346</v>
      </c>
      <c r="I48" s="7">
        <v>0</v>
      </c>
      <c r="J48" s="7">
        <v>452</v>
      </c>
      <c r="K48" s="7"/>
      <c r="L48" s="7"/>
      <c r="M48" s="8"/>
      <c r="N48" s="8"/>
      <c r="O48" s="7">
        <v>4859</v>
      </c>
      <c r="Q48" s="3"/>
      <c r="R48" s="3"/>
      <c r="S48" s="6"/>
      <c r="T48" s="7"/>
      <c r="U48" s="7"/>
      <c r="V48" s="7"/>
      <c r="W48" s="7"/>
      <c r="X48" s="7"/>
      <c r="Y48" s="7"/>
      <c r="Z48" s="7"/>
      <c r="AA48" s="7"/>
      <c r="AB48" s="7"/>
      <c r="AC48" s="7"/>
      <c r="AD48" s="7"/>
      <c r="AE48" s="8"/>
      <c r="AF48" s="8"/>
      <c r="AG48" s="6"/>
    </row>
    <row r="49" spans="1:33" ht="19.7" customHeight="1" x14ac:dyDescent="0.25">
      <c r="A49" s="6">
        <f t="shared" si="1"/>
        <v>40180</v>
      </c>
      <c r="B49" s="7">
        <f t="shared" si="2"/>
        <v>188640</v>
      </c>
      <c r="C49" s="7">
        <v>92845</v>
      </c>
      <c r="D49" s="7">
        <v>478</v>
      </c>
      <c r="E49" s="7">
        <v>467</v>
      </c>
      <c r="F49" s="7">
        <v>46426</v>
      </c>
      <c r="G49" s="7">
        <v>18033</v>
      </c>
      <c r="H49" s="7">
        <v>30001</v>
      </c>
      <c r="I49" s="7">
        <v>0</v>
      </c>
      <c r="J49" s="7">
        <v>390</v>
      </c>
      <c r="K49" s="7"/>
      <c r="L49" s="7"/>
      <c r="M49" s="8"/>
      <c r="N49" s="8"/>
      <c r="O49" s="7">
        <v>5029</v>
      </c>
      <c r="Q49" s="3"/>
      <c r="R49" s="3"/>
      <c r="S49" s="6"/>
      <c r="T49" s="7"/>
      <c r="U49" s="7"/>
      <c r="V49" s="7"/>
      <c r="W49" s="7"/>
      <c r="X49" s="7"/>
      <c r="Y49" s="7"/>
      <c r="Z49" s="7"/>
      <c r="AA49" s="7"/>
      <c r="AB49" s="7"/>
      <c r="AC49" s="7"/>
      <c r="AD49" s="7"/>
      <c r="AE49" s="8"/>
      <c r="AF49" s="8"/>
      <c r="AG49" s="6"/>
    </row>
    <row r="50" spans="1:33" ht="19.7" customHeight="1" x14ac:dyDescent="0.25">
      <c r="A50" s="6">
        <f t="shared" si="1"/>
        <v>40187</v>
      </c>
      <c r="B50" s="7">
        <f t="shared" si="2"/>
        <v>194284</v>
      </c>
      <c r="C50" s="7">
        <v>95211</v>
      </c>
      <c r="D50" s="7">
        <v>505</v>
      </c>
      <c r="E50" s="7">
        <v>531</v>
      </c>
      <c r="F50" s="7">
        <v>47539</v>
      </c>
      <c r="G50" s="7">
        <v>19990</v>
      </c>
      <c r="H50" s="7">
        <v>29153</v>
      </c>
      <c r="I50" s="7">
        <v>941</v>
      </c>
      <c r="J50" s="7">
        <v>414</v>
      </c>
      <c r="K50" s="7"/>
      <c r="L50" s="7"/>
      <c r="M50" s="8"/>
      <c r="N50" s="8"/>
      <c r="O50" s="7">
        <v>9032</v>
      </c>
      <c r="Q50" s="3"/>
      <c r="R50" s="3"/>
      <c r="S50" s="6"/>
      <c r="T50" s="7"/>
      <c r="U50" s="7"/>
      <c r="V50" s="7"/>
      <c r="W50" s="7"/>
      <c r="X50" s="7"/>
      <c r="Y50" s="7"/>
      <c r="Z50" s="7"/>
      <c r="AA50" s="7"/>
      <c r="AB50" s="7"/>
      <c r="AC50" s="7"/>
      <c r="AD50" s="7"/>
      <c r="AE50" s="8"/>
      <c r="AF50" s="8"/>
      <c r="AG50" s="6"/>
    </row>
    <row r="51" spans="1:33" ht="19.7" customHeight="1" x14ac:dyDescent="0.25">
      <c r="A51" s="6">
        <f t="shared" si="1"/>
        <v>40194</v>
      </c>
      <c r="B51" s="7">
        <f t="shared" si="2"/>
        <v>193739</v>
      </c>
      <c r="C51" s="7">
        <v>94110</v>
      </c>
      <c r="D51" s="7">
        <v>493</v>
      </c>
      <c r="E51" s="7">
        <v>492</v>
      </c>
      <c r="F51" s="7">
        <v>46700</v>
      </c>
      <c r="G51" s="7">
        <v>20328</v>
      </c>
      <c r="H51" s="7">
        <v>28820</v>
      </c>
      <c r="I51" s="7">
        <v>2467</v>
      </c>
      <c r="J51" s="7">
        <v>329</v>
      </c>
      <c r="K51" s="7"/>
      <c r="L51" s="7"/>
      <c r="M51" s="8"/>
      <c r="N51" s="8"/>
      <c r="O51" s="7">
        <v>8419</v>
      </c>
      <c r="Q51" s="3"/>
      <c r="R51" s="3"/>
      <c r="S51" s="6"/>
      <c r="T51" s="7"/>
      <c r="U51" s="7"/>
      <c r="V51" s="7"/>
      <c r="W51" s="7"/>
      <c r="X51" s="7"/>
      <c r="Y51" s="7"/>
      <c r="Z51" s="7"/>
      <c r="AA51" s="7"/>
      <c r="AB51" s="7"/>
      <c r="AC51" s="7"/>
      <c r="AD51" s="7"/>
      <c r="AE51" s="8"/>
      <c r="AF51" s="8"/>
      <c r="AG51" s="6"/>
    </row>
    <row r="52" spans="1:33" ht="19.7" customHeight="1" x14ac:dyDescent="0.25">
      <c r="A52" s="6">
        <f t="shared" si="1"/>
        <v>40201</v>
      </c>
      <c r="B52" s="7">
        <f t="shared" si="2"/>
        <v>192551</v>
      </c>
      <c r="C52" s="7">
        <v>92401</v>
      </c>
      <c r="D52" s="7">
        <v>514</v>
      </c>
      <c r="E52" s="7">
        <v>512</v>
      </c>
      <c r="F52" s="7">
        <v>46290</v>
      </c>
      <c r="G52" s="7">
        <v>20481</v>
      </c>
      <c r="H52" s="7">
        <v>28195</v>
      </c>
      <c r="I52" s="7">
        <v>3860</v>
      </c>
      <c r="J52" s="7">
        <v>298</v>
      </c>
      <c r="K52" s="7"/>
      <c r="L52" s="7"/>
      <c r="M52" s="8"/>
      <c r="N52" s="8"/>
      <c r="O52" s="7">
        <v>7191</v>
      </c>
      <c r="Q52" s="3"/>
      <c r="R52" s="3"/>
      <c r="S52" s="6"/>
      <c r="T52" s="7"/>
      <c r="U52" s="7"/>
      <c r="V52" s="7"/>
      <c r="W52" s="7"/>
      <c r="X52" s="7"/>
      <c r="Y52" s="7"/>
      <c r="Z52" s="7"/>
      <c r="AA52" s="7"/>
      <c r="AB52" s="7"/>
      <c r="AC52" s="7"/>
      <c r="AD52" s="7"/>
      <c r="AE52" s="8"/>
      <c r="AF52" s="8"/>
      <c r="AG52" s="6"/>
    </row>
    <row r="53" spans="1:33" ht="19.7" customHeight="1" x14ac:dyDescent="0.25">
      <c r="A53" s="6">
        <f t="shared" si="1"/>
        <v>40208</v>
      </c>
      <c r="B53" s="7">
        <f t="shared" si="2"/>
        <v>196879</v>
      </c>
      <c r="C53" s="7">
        <v>94277</v>
      </c>
      <c r="D53" s="7">
        <v>519</v>
      </c>
      <c r="E53" s="7">
        <v>552</v>
      </c>
      <c r="F53" s="7">
        <v>46721</v>
      </c>
      <c r="G53" s="7">
        <v>21035</v>
      </c>
      <c r="H53" s="7">
        <v>28162</v>
      </c>
      <c r="I53" s="7">
        <v>5268</v>
      </c>
      <c r="J53" s="7">
        <v>345</v>
      </c>
      <c r="K53" s="7"/>
      <c r="L53" s="7"/>
      <c r="M53" s="8"/>
      <c r="N53" s="8"/>
      <c r="O53" s="7">
        <v>7138</v>
      </c>
      <c r="Q53" s="3"/>
      <c r="R53" s="3"/>
      <c r="S53" s="6"/>
      <c r="T53" s="7"/>
      <c r="U53" s="7"/>
      <c r="V53" s="7"/>
      <c r="W53" s="7"/>
      <c r="X53" s="7"/>
      <c r="Y53" s="7"/>
      <c r="Z53" s="7"/>
      <c r="AA53" s="7"/>
      <c r="AB53" s="7"/>
      <c r="AC53" s="7"/>
      <c r="AD53" s="7"/>
      <c r="AE53" s="8"/>
      <c r="AF53" s="8"/>
      <c r="AG53" s="6"/>
    </row>
    <row r="54" spans="1:33" ht="19.7" customHeight="1" x14ac:dyDescent="0.25">
      <c r="A54" s="6">
        <f t="shared" si="1"/>
        <v>40215</v>
      </c>
      <c r="B54" s="7">
        <f t="shared" si="2"/>
        <v>195605</v>
      </c>
      <c r="C54" s="7">
        <v>91896</v>
      </c>
      <c r="D54" s="7">
        <v>502</v>
      </c>
      <c r="E54" s="7">
        <v>484</v>
      </c>
      <c r="F54" s="7">
        <v>46428</v>
      </c>
      <c r="G54" s="7">
        <v>21466</v>
      </c>
      <c r="H54" s="7">
        <v>27998</v>
      </c>
      <c r="I54" s="7">
        <v>6559</v>
      </c>
      <c r="J54" s="7">
        <v>272</v>
      </c>
      <c r="K54" s="7"/>
      <c r="L54" s="7"/>
      <c r="M54" s="8"/>
      <c r="N54" s="8"/>
      <c r="O54" s="7">
        <v>6614</v>
      </c>
      <c r="Q54" s="3"/>
      <c r="R54" s="3"/>
      <c r="S54" s="6"/>
      <c r="T54" s="7"/>
      <c r="U54" s="7"/>
      <c r="V54" s="7"/>
      <c r="W54" s="7"/>
      <c r="X54" s="7"/>
      <c r="Y54" s="7"/>
      <c r="Z54" s="7"/>
      <c r="AA54" s="7"/>
      <c r="AB54" s="7"/>
      <c r="AC54" s="7"/>
      <c r="AD54" s="7"/>
      <c r="AE54" s="8"/>
      <c r="AF54" s="8"/>
      <c r="AG54" s="6"/>
    </row>
    <row r="55" spans="1:33" ht="19.7" customHeight="1" x14ac:dyDescent="0.25">
      <c r="A55" s="6">
        <f t="shared" si="1"/>
        <v>40222</v>
      </c>
      <c r="B55" s="7">
        <f t="shared" si="2"/>
        <v>194299</v>
      </c>
      <c r="C55" s="7">
        <v>90634</v>
      </c>
      <c r="D55" s="7">
        <v>509</v>
      </c>
      <c r="E55" s="7">
        <v>487</v>
      </c>
      <c r="F55" s="7">
        <v>45597</v>
      </c>
      <c r="G55" s="7">
        <v>21687</v>
      </c>
      <c r="H55" s="7">
        <v>27815</v>
      </c>
      <c r="I55" s="7">
        <v>7308</v>
      </c>
      <c r="J55" s="7">
        <v>262</v>
      </c>
      <c r="K55" s="7"/>
      <c r="L55" s="7"/>
      <c r="M55" s="8"/>
      <c r="N55" s="8"/>
      <c r="O55" s="7">
        <v>5993</v>
      </c>
      <c r="Q55" s="3"/>
      <c r="R55" s="3"/>
      <c r="S55" s="6"/>
      <c r="T55" s="7"/>
      <c r="U55" s="7"/>
      <c r="V55" s="7"/>
      <c r="W55" s="7"/>
      <c r="X55" s="7"/>
      <c r="Y55" s="7"/>
      <c r="Z55" s="7"/>
      <c r="AA55" s="7"/>
      <c r="AB55" s="7"/>
      <c r="AC55" s="7"/>
      <c r="AD55" s="7"/>
      <c r="AE55" s="8"/>
      <c r="AF55" s="8"/>
      <c r="AG55" s="6"/>
    </row>
    <row r="56" spans="1:33" ht="19.7" customHeight="1" x14ac:dyDescent="0.25">
      <c r="A56" s="6">
        <f t="shared" si="1"/>
        <v>40229</v>
      </c>
      <c r="B56" s="7">
        <f t="shared" si="2"/>
        <v>191441</v>
      </c>
      <c r="C56" s="7">
        <v>87516</v>
      </c>
      <c r="D56" s="7">
        <v>499</v>
      </c>
      <c r="E56" s="7">
        <v>466</v>
      </c>
      <c r="F56" s="7">
        <v>44974</v>
      </c>
      <c r="G56" s="7">
        <v>22038</v>
      </c>
      <c r="H56" s="7">
        <v>17171</v>
      </c>
      <c r="I56" s="7">
        <v>18436</v>
      </c>
      <c r="J56" s="7">
        <v>341</v>
      </c>
      <c r="K56" s="7">
        <f>B56-B4</f>
        <v>76146</v>
      </c>
      <c r="L56" s="7">
        <f t="shared" ref="L56:L119" si="3">C56-C4</f>
        <v>1913</v>
      </c>
      <c r="M56" s="8">
        <f>IF(K56="","",B56/B4-1)</f>
        <v>0.66044494557439615</v>
      </c>
      <c r="N56" s="8">
        <f t="shared" ref="N56:N119" si="4">IF(L56="","",C56/C4-1)</f>
        <v>2.23473476396856E-2</v>
      </c>
      <c r="O56" s="7">
        <v>5414</v>
      </c>
      <c r="Q56" s="3"/>
      <c r="R56" s="3"/>
      <c r="S56" s="6"/>
      <c r="T56" s="7"/>
      <c r="U56" s="7"/>
      <c r="V56" s="7"/>
      <c r="W56" s="7"/>
      <c r="X56" s="7"/>
      <c r="Y56" s="7"/>
      <c r="Z56" s="7"/>
      <c r="AA56" s="7"/>
      <c r="AB56" s="7"/>
      <c r="AC56" s="7"/>
      <c r="AD56" s="7"/>
      <c r="AE56" s="8"/>
      <c r="AF56" s="8"/>
      <c r="AG56" s="6"/>
    </row>
    <row r="57" spans="1:33" ht="19.7" customHeight="1" x14ac:dyDescent="0.25">
      <c r="A57" s="6">
        <f t="shared" si="1"/>
        <v>40236</v>
      </c>
      <c r="B57" s="7">
        <f t="shared" si="2"/>
        <v>193840</v>
      </c>
      <c r="C57" s="7">
        <v>88482</v>
      </c>
      <c r="D57" s="7">
        <v>503</v>
      </c>
      <c r="E57" s="7">
        <v>493</v>
      </c>
      <c r="F57" s="7">
        <v>45324</v>
      </c>
      <c r="G57" s="7">
        <v>22669</v>
      </c>
      <c r="H57" s="7">
        <v>16550</v>
      </c>
      <c r="I57" s="7">
        <v>19259</v>
      </c>
      <c r="J57" s="7">
        <v>560</v>
      </c>
      <c r="K57" s="7">
        <f t="shared" ref="K57:K120" si="5">B57-B5</f>
        <v>73691</v>
      </c>
      <c r="L57" s="7">
        <f t="shared" si="3"/>
        <v>-643</v>
      </c>
      <c r="M57" s="8">
        <f t="shared" ref="M57:M120" si="6">IF(K57="","",B57/B5-1)</f>
        <v>0.61333011510707536</v>
      </c>
      <c r="N57" s="8">
        <f t="shared" si="4"/>
        <v>-7.214586255259503E-3</v>
      </c>
      <c r="O57" s="7">
        <v>5923</v>
      </c>
      <c r="Q57" s="3"/>
      <c r="R57" s="3"/>
      <c r="S57" s="6"/>
      <c r="T57" s="7"/>
      <c r="U57" s="7"/>
      <c r="V57" s="7"/>
      <c r="W57" s="7"/>
      <c r="X57" s="7"/>
      <c r="Y57" s="7"/>
      <c r="Z57" s="7"/>
      <c r="AA57" s="7"/>
      <c r="AB57" s="7"/>
      <c r="AC57" s="7"/>
      <c r="AD57" s="7"/>
      <c r="AE57" s="8"/>
      <c r="AF57" s="8"/>
      <c r="AG57" s="6"/>
    </row>
    <row r="58" spans="1:33" ht="19.7" customHeight="1" x14ac:dyDescent="0.25">
      <c r="A58" s="6">
        <f t="shared" si="1"/>
        <v>40243</v>
      </c>
      <c r="B58" s="7">
        <f t="shared" si="2"/>
        <v>191924</v>
      </c>
      <c r="C58" s="7">
        <v>85841</v>
      </c>
      <c r="D58" s="7">
        <v>521</v>
      </c>
      <c r="E58" s="7">
        <v>461</v>
      </c>
      <c r="F58" s="7">
        <v>44986</v>
      </c>
      <c r="G58" s="7">
        <v>23012</v>
      </c>
      <c r="H58" s="7">
        <v>16616</v>
      </c>
      <c r="I58" s="7">
        <v>18366</v>
      </c>
      <c r="J58" s="7">
        <v>2121</v>
      </c>
      <c r="K58" s="7">
        <f t="shared" si="5"/>
        <v>69776</v>
      </c>
      <c r="L58" s="7">
        <f t="shared" si="3"/>
        <v>-4576</v>
      </c>
      <c r="M58" s="8">
        <f t="shared" si="6"/>
        <v>0.57124144480466321</v>
      </c>
      <c r="N58" s="8">
        <f t="shared" si="4"/>
        <v>-5.0609951668380893E-2</v>
      </c>
      <c r="O58" s="7">
        <v>6407</v>
      </c>
      <c r="Q58" s="3"/>
      <c r="R58" s="3"/>
      <c r="S58" s="6"/>
      <c r="T58" s="7"/>
      <c r="U58" s="7"/>
      <c r="V58" s="7"/>
      <c r="W58" s="7"/>
      <c r="X58" s="7"/>
      <c r="Y58" s="7"/>
      <c r="Z58" s="7"/>
      <c r="AA58" s="7"/>
      <c r="AB58" s="7"/>
      <c r="AC58" s="7"/>
      <c r="AD58" s="7"/>
      <c r="AE58" s="8"/>
      <c r="AF58" s="8"/>
      <c r="AG58" s="6"/>
    </row>
    <row r="59" spans="1:33" ht="19.7" customHeight="1" x14ac:dyDescent="0.25">
      <c r="A59" s="6">
        <f t="shared" si="1"/>
        <v>40250</v>
      </c>
      <c r="B59" s="7">
        <f t="shared" si="2"/>
        <v>191274</v>
      </c>
      <c r="C59" s="7">
        <v>84950</v>
      </c>
      <c r="D59" s="7">
        <v>489</v>
      </c>
      <c r="E59" s="7">
        <v>506</v>
      </c>
      <c r="F59" s="7">
        <v>44625</v>
      </c>
      <c r="G59" s="7">
        <v>23031</v>
      </c>
      <c r="H59" s="7">
        <v>16823</v>
      </c>
      <c r="I59" s="7">
        <v>18311</v>
      </c>
      <c r="J59" s="7">
        <v>2539</v>
      </c>
      <c r="K59" s="7">
        <f t="shared" si="5"/>
        <v>65548</v>
      </c>
      <c r="L59" s="7">
        <f t="shared" si="3"/>
        <v>-9019</v>
      </c>
      <c r="M59" s="8">
        <f t="shared" si="6"/>
        <v>0.52135596455784805</v>
      </c>
      <c r="N59" s="8">
        <f t="shared" si="4"/>
        <v>-9.5978460981813174E-2</v>
      </c>
      <c r="O59" s="7">
        <v>6097</v>
      </c>
      <c r="Q59" s="3"/>
      <c r="R59" s="3"/>
      <c r="S59" s="6"/>
      <c r="T59" s="7"/>
      <c r="U59" s="7"/>
      <c r="V59" s="7"/>
      <c r="W59" s="7"/>
      <c r="X59" s="7"/>
      <c r="Y59" s="7"/>
      <c r="Z59" s="7"/>
      <c r="AA59" s="7"/>
      <c r="AB59" s="7"/>
      <c r="AC59" s="7"/>
      <c r="AD59" s="7"/>
      <c r="AE59" s="8"/>
      <c r="AF59" s="8"/>
      <c r="AG59" s="6"/>
    </row>
    <row r="60" spans="1:33" ht="19.7" customHeight="1" x14ac:dyDescent="0.25">
      <c r="A60" s="6">
        <f t="shared" si="1"/>
        <v>40257</v>
      </c>
      <c r="B60" s="7">
        <f t="shared" si="2"/>
        <v>191413</v>
      </c>
      <c r="C60" s="7">
        <v>84092</v>
      </c>
      <c r="D60" s="7">
        <v>506</v>
      </c>
      <c r="E60" s="7">
        <v>473</v>
      </c>
      <c r="F60" s="7">
        <v>44618</v>
      </c>
      <c r="G60" s="7">
        <v>23222</v>
      </c>
      <c r="H60" s="7">
        <v>17101</v>
      </c>
      <c r="I60" s="7">
        <v>18434</v>
      </c>
      <c r="J60" s="7">
        <v>2967</v>
      </c>
      <c r="K60" s="7">
        <f t="shared" si="5"/>
        <v>61545</v>
      </c>
      <c r="L60" s="7">
        <f t="shared" si="3"/>
        <v>-12561</v>
      </c>
      <c r="M60" s="8">
        <f t="shared" si="6"/>
        <v>0.47390427203006125</v>
      </c>
      <c r="N60" s="8">
        <f t="shared" si="4"/>
        <v>-0.1299597529305867</v>
      </c>
      <c r="O60" s="7">
        <v>5719</v>
      </c>
      <c r="Q60" s="3"/>
      <c r="R60" s="3"/>
      <c r="S60" s="6"/>
      <c r="T60" s="7"/>
      <c r="U60" s="7"/>
      <c r="V60" s="7"/>
      <c r="W60" s="7"/>
      <c r="X60" s="7"/>
      <c r="Y60" s="7"/>
      <c r="Z60" s="7"/>
      <c r="AA60" s="7"/>
      <c r="AB60" s="7"/>
      <c r="AC60" s="7"/>
      <c r="AD60" s="7"/>
      <c r="AE60" s="8"/>
      <c r="AF60" s="8"/>
      <c r="AG60" s="6"/>
    </row>
    <row r="61" spans="1:33" ht="19.7" customHeight="1" x14ac:dyDescent="0.25">
      <c r="A61" s="6">
        <f t="shared" si="1"/>
        <v>40264</v>
      </c>
      <c r="B61" s="7">
        <f t="shared" si="2"/>
        <v>190579</v>
      </c>
      <c r="C61" s="7">
        <v>82856</v>
      </c>
      <c r="D61" s="7">
        <v>467</v>
      </c>
      <c r="E61" s="7">
        <v>492</v>
      </c>
      <c r="F61" s="7">
        <v>44289</v>
      </c>
      <c r="G61" s="7">
        <v>23143</v>
      </c>
      <c r="H61" s="7">
        <v>17492</v>
      </c>
      <c r="I61" s="7">
        <v>18536</v>
      </c>
      <c r="J61" s="7">
        <v>3304</v>
      </c>
      <c r="K61" s="7">
        <f t="shared" si="5"/>
        <v>59257</v>
      </c>
      <c r="L61" s="7">
        <f t="shared" si="3"/>
        <v>-14217</v>
      </c>
      <c r="M61" s="8">
        <f t="shared" si="6"/>
        <v>0.45123437047867077</v>
      </c>
      <c r="N61" s="8">
        <f t="shared" si="4"/>
        <v>-0.14645679025063607</v>
      </c>
      <c r="O61" s="7">
        <v>5774</v>
      </c>
      <c r="Q61" s="3"/>
      <c r="R61" s="3"/>
      <c r="S61" s="6"/>
      <c r="T61" s="7"/>
      <c r="U61" s="7"/>
      <c r="V61" s="7"/>
      <c r="W61" s="7"/>
      <c r="X61" s="7"/>
      <c r="Y61" s="7"/>
      <c r="Z61" s="7"/>
      <c r="AA61" s="7"/>
      <c r="AB61" s="7"/>
      <c r="AC61" s="7"/>
      <c r="AD61" s="7"/>
      <c r="AE61" s="8"/>
      <c r="AF61" s="8"/>
      <c r="AG61" s="6"/>
    </row>
    <row r="62" spans="1:33" ht="19.7" customHeight="1" x14ac:dyDescent="0.25">
      <c r="A62" s="6">
        <f t="shared" si="1"/>
        <v>40271</v>
      </c>
      <c r="B62" s="7">
        <f t="shared" si="2"/>
        <v>189413</v>
      </c>
      <c r="C62" s="7">
        <v>81642</v>
      </c>
      <c r="D62" s="7">
        <v>453</v>
      </c>
      <c r="E62" s="7">
        <v>494</v>
      </c>
      <c r="F62" s="7">
        <v>43727</v>
      </c>
      <c r="G62" s="7">
        <v>23143</v>
      </c>
      <c r="H62" s="7">
        <v>17794</v>
      </c>
      <c r="I62" s="7">
        <v>18311</v>
      </c>
      <c r="J62" s="7">
        <v>3849</v>
      </c>
      <c r="K62" s="7">
        <f t="shared" si="5"/>
        <v>56771</v>
      </c>
      <c r="L62" s="7">
        <f t="shared" si="3"/>
        <v>-16450</v>
      </c>
      <c r="M62" s="8">
        <f t="shared" si="6"/>
        <v>0.42800168875620082</v>
      </c>
      <c r="N62" s="8">
        <f t="shared" si="4"/>
        <v>-0.16769971047587984</v>
      </c>
      <c r="O62" s="7">
        <v>6732</v>
      </c>
      <c r="Q62" s="3"/>
      <c r="R62" s="3"/>
      <c r="S62" s="6"/>
      <c r="T62" s="7"/>
      <c r="U62" s="7"/>
      <c r="V62" s="7"/>
      <c r="W62" s="7"/>
      <c r="X62" s="7"/>
      <c r="Y62" s="7"/>
      <c r="Z62" s="7"/>
      <c r="AA62" s="7"/>
      <c r="AB62" s="7"/>
      <c r="AC62" s="7"/>
      <c r="AD62" s="7"/>
      <c r="AE62" s="8"/>
      <c r="AF62" s="8"/>
      <c r="AG62" s="6"/>
    </row>
    <row r="63" spans="1:33" ht="19.7" customHeight="1" x14ac:dyDescent="0.25">
      <c r="A63" s="6">
        <f t="shared" si="1"/>
        <v>40278</v>
      </c>
      <c r="B63" s="7">
        <f t="shared" si="2"/>
        <v>185479</v>
      </c>
      <c r="C63" s="7">
        <v>81176</v>
      </c>
      <c r="D63" s="7">
        <v>447</v>
      </c>
      <c r="E63" s="7">
        <v>484</v>
      </c>
      <c r="F63" s="7">
        <v>43361</v>
      </c>
      <c r="G63" s="7">
        <v>22933</v>
      </c>
      <c r="H63" s="7">
        <v>18371</v>
      </c>
      <c r="I63" s="7">
        <v>8763</v>
      </c>
      <c r="J63" s="7">
        <v>9944</v>
      </c>
      <c r="K63" s="7">
        <f t="shared" si="5"/>
        <v>48740</v>
      </c>
      <c r="L63" s="7">
        <f t="shared" si="3"/>
        <v>-19044</v>
      </c>
      <c r="M63" s="8">
        <f t="shared" si="6"/>
        <v>0.35644549104498346</v>
      </c>
      <c r="N63" s="8">
        <f t="shared" si="4"/>
        <v>-0.19002195170624625</v>
      </c>
      <c r="O63" s="7">
        <v>8828</v>
      </c>
      <c r="Q63" s="3"/>
      <c r="R63" s="3"/>
      <c r="S63" s="6"/>
      <c r="T63" s="7"/>
      <c r="U63" s="7"/>
      <c r="V63" s="7"/>
      <c r="W63" s="7"/>
      <c r="X63" s="7"/>
      <c r="Y63" s="7"/>
      <c r="Z63" s="7"/>
      <c r="AA63" s="7"/>
      <c r="AB63" s="7"/>
      <c r="AC63" s="7"/>
      <c r="AD63" s="7"/>
      <c r="AE63" s="8"/>
      <c r="AF63" s="8"/>
      <c r="AG63" s="6"/>
    </row>
    <row r="64" spans="1:33" ht="19.7" customHeight="1" x14ac:dyDescent="0.25">
      <c r="A64" s="6">
        <f t="shared" si="1"/>
        <v>40285</v>
      </c>
      <c r="B64" s="7">
        <f t="shared" si="2"/>
        <v>186905</v>
      </c>
      <c r="C64" s="7">
        <v>82217</v>
      </c>
      <c r="D64" s="7">
        <v>436</v>
      </c>
      <c r="E64" s="7">
        <v>475</v>
      </c>
      <c r="F64" s="7">
        <v>42843</v>
      </c>
      <c r="G64" s="7">
        <v>22718</v>
      </c>
      <c r="H64" s="7">
        <v>18829</v>
      </c>
      <c r="I64" s="7">
        <v>8399</v>
      </c>
      <c r="J64" s="7">
        <v>10988</v>
      </c>
      <c r="K64" s="7">
        <f t="shared" si="5"/>
        <v>46207</v>
      </c>
      <c r="L64" s="7">
        <f t="shared" si="3"/>
        <v>-21752</v>
      </c>
      <c r="M64" s="8">
        <f t="shared" si="6"/>
        <v>0.32841262846664487</v>
      </c>
      <c r="N64" s="8">
        <f t="shared" si="4"/>
        <v>-0.20921620867758661</v>
      </c>
      <c r="O64" s="7">
        <v>8021</v>
      </c>
      <c r="Q64" s="3"/>
      <c r="R64" s="3"/>
      <c r="S64" s="6"/>
      <c r="T64" s="7"/>
      <c r="U64" s="7"/>
      <c r="V64" s="7"/>
      <c r="W64" s="7"/>
      <c r="X64" s="7"/>
      <c r="Y64" s="7"/>
      <c r="Z64" s="7"/>
      <c r="AA64" s="7"/>
      <c r="AB64" s="7"/>
      <c r="AC64" s="7"/>
      <c r="AD64" s="7"/>
      <c r="AE64" s="8"/>
      <c r="AF64" s="8"/>
      <c r="AG64" s="6"/>
    </row>
    <row r="65" spans="1:33" ht="19.7" customHeight="1" x14ac:dyDescent="0.25">
      <c r="A65" s="6">
        <f t="shared" si="1"/>
        <v>40292</v>
      </c>
      <c r="B65" s="7">
        <f t="shared" si="2"/>
        <v>188974</v>
      </c>
      <c r="C65" s="7">
        <v>84137</v>
      </c>
      <c r="D65" s="7">
        <v>383</v>
      </c>
      <c r="E65" s="7">
        <v>481</v>
      </c>
      <c r="F65" s="7">
        <v>42567</v>
      </c>
      <c r="G65" s="7">
        <v>22242</v>
      </c>
      <c r="H65" s="7">
        <v>19094</v>
      </c>
      <c r="I65" s="7">
        <v>8413</v>
      </c>
      <c r="J65" s="7">
        <v>11657</v>
      </c>
      <c r="K65" s="7">
        <f t="shared" si="5"/>
        <v>49724</v>
      </c>
      <c r="L65" s="7">
        <f t="shared" si="3"/>
        <v>-21372</v>
      </c>
      <c r="M65" s="8">
        <f t="shared" si="6"/>
        <v>0.35708438061041292</v>
      </c>
      <c r="N65" s="8">
        <f t="shared" si="4"/>
        <v>-0.20256091897373685</v>
      </c>
      <c r="O65" s="7">
        <v>7026</v>
      </c>
      <c r="Q65" s="3"/>
      <c r="R65" s="3"/>
      <c r="S65" s="6"/>
      <c r="T65" s="7"/>
      <c r="U65" s="7"/>
      <c r="V65" s="7"/>
      <c r="W65" s="7"/>
      <c r="X65" s="7"/>
      <c r="Y65" s="7"/>
      <c r="Z65" s="7"/>
      <c r="AA65" s="7"/>
      <c r="AB65" s="7"/>
      <c r="AC65" s="7"/>
      <c r="AD65" s="7"/>
      <c r="AE65" s="8"/>
      <c r="AF65" s="8"/>
      <c r="AG65" s="6"/>
    </row>
    <row r="66" spans="1:33" ht="19.7" customHeight="1" x14ac:dyDescent="0.25">
      <c r="A66" s="6">
        <f t="shared" si="1"/>
        <v>40299</v>
      </c>
      <c r="B66" s="7">
        <f t="shared" si="2"/>
        <v>189966</v>
      </c>
      <c r="C66" s="7">
        <v>84445</v>
      </c>
      <c r="D66" s="7">
        <v>379</v>
      </c>
      <c r="E66" s="7">
        <v>499</v>
      </c>
      <c r="F66" s="7">
        <v>42792</v>
      </c>
      <c r="G66" s="7">
        <v>22094</v>
      </c>
      <c r="H66" s="7">
        <v>19325</v>
      </c>
      <c r="I66" s="7">
        <v>8398</v>
      </c>
      <c r="J66" s="7">
        <v>12034</v>
      </c>
      <c r="K66" s="7">
        <f t="shared" si="5"/>
        <v>49801</v>
      </c>
      <c r="L66" s="7">
        <f t="shared" si="3"/>
        <v>-22215</v>
      </c>
      <c r="M66" s="8">
        <f t="shared" si="6"/>
        <v>0.3553026789854814</v>
      </c>
      <c r="N66" s="8">
        <f t="shared" si="4"/>
        <v>-0.20827864241515093</v>
      </c>
      <c r="O66" s="7">
        <v>6248</v>
      </c>
      <c r="Q66" s="3"/>
      <c r="R66" s="3"/>
      <c r="S66" s="6"/>
      <c r="T66" s="7"/>
      <c r="U66" s="7"/>
      <c r="V66" s="7"/>
      <c r="W66" s="7"/>
      <c r="X66" s="7"/>
      <c r="Y66" s="7"/>
      <c r="Z66" s="7"/>
      <c r="AA66" s="7"/>
      <c r="AB66" s="7"/>
      <c r="AC66" s="7"/>
      <c r="AD66" s="7"/>
      <c r="AE66" s="8"/>
      <c r="AF66" s="8"/>
      <c r="AG66" s="6"/>
    </row>
    <row r="67" spans="1:33" ht="19.7" customHeight="1" x14ac:dyDescent="0.25">
      <c r="A67" s="6">
        <f t="shared" si="1"/>
        <v>40306</v>
      </c>
      <c r="B67" s="7">
        <f t="shared" si="2"/>
        <v>187541</v>
      </c>
      <c r="C67" s="7">
        <v>83549</v>
      </c>
      <c r="D67" s="7">
        <v>355</v>
      </c>
      <c r="E67" s="7">
        <v>490</v>
      </c>
      <c r="F67" s="7">
        <v>41680</v>
      </c>
      <c r="G67" s="7">
        <v>21667</v>
      </c>
      <c r="H67" s="7">
        <v>19305</v>
      </c>
      <c r="I67" s="7">
        <v>8476</v>
      </c>
      <c r="J67" s="7">
        <v>12019</v>
      </c>
      <c r="K67" s="7">
        <f t="shared" si="5"/>
        <v>44551</v>
      </c>
      <c r="L67" s="7">
        <f t="shared" si="3"/>
        <v>-24871</v>
      </c>
      <c r="M67" s="8">
        <f t="shared" si="6"/>
        <v>0.31156724246450795</v>
      </c>
      <c r="N67" s="8">
        <f t="shared" si="4"/>
        <v>-0.22939494558199591</v>
      </c>
      <c r="O67" s="7">
        <v>6337</v>
      </c>
      <c r="Q67" s="3"/>
      <c r="R67" s="3"/>
      <c r="S67" s="6"/>
      <c r="T67" s="7"/>
      <c r="U67" s="7"/>
      <c r="V67" s="7"/>
      <c r="W67" s="7"/>
      <c r="X67" s="7"/>
      <c r="Y67" s="7"/>
      <c r="Z67" s="7"/>
      <c r="AA67" s="7"/>
      <c r="AB67" s="7"/>
      <c r="AC67" s="7"/>
      <c r="AD67" s="7"/>
      <c r="AE67" s="8"/>
      <c r="AF67" s="8"/>
      <c r="AG67" s="6"/>
    </row>
    <row r="68" spans="1:33" ht="19.7" customHeight="1" x14ac:dyDescent="0.25">
      <c r="A68" s="6">
        <f t="shared" si="1"/>
        <v>40313</v>
      </c>
      <c r="B68" s="7">
        <f t="shared" ref="B68:B131" si="7">SUM(C68:J68)</f>
        <v>187144</v>
      </c>
      <c r="C68" s="7">
        <v>82300</v>
      </c>
      <c r="D68" s="7">
        <v>399</v>
      </c>
      <c r="E68" s="7">
        <v>528</v>
      </c>
      <c r="F68" s="7">
        <v>41790</v>
      </c>
      <c r="G68" s="7">
        <v>21493</v>
      </c>
      <c r="H68" s="7">
        <v>19470</v>
      </c>
      <c r="I68" s="7">
        <v>8717</v>
      </c>
      <c r="J68" s="7">
        <v>12447</v>
      </c>
      <c r="K68" s="7">
        <f t="shared" si="5"/>
        <v>43533</v>
      </c>
      <c r="L68" s="7">
        <f t="shared" si="3"/>
        <v>-25389</v>
      </c>
      <c r="M68" s="8">
        <f t="shared" si="6"/>
        <v>0.30313137573027138</v>
      </c>
      <c r="N68" s="8">
        <f t="shared" si="4"/>
        <v>-0.23576224126883893</v>
      </c>
      <c r="O68" s="7">
        <v>6447</v>
      </c>
      <c r="Q68" s="3"/>
      <c r="R68" s="3"/>
      <c r="S68" s="6"/>
      <c r="T68" s="7"/>
      <c r="U68" s="7"/>
      <c r="V68" s="7"/>
      <c r="W68" s="7"/>
      <c r="X68" s="7"/>
      <c r="Y68" s="7"/>
      <c r="Z68" s="7"/>
      <c r="AA68" s="7"/>
      <c r="AB68" s="7"/>
      <c r="AC68" s="7"/>
      <c r="AD68" s="7"/>
      <c r="AE68" s="8"/>
      <c r="AF68" s="8"/>
      <c r="AG68" s="6"/>
    </row>
    <row r="69" spans="1:33" ht="19.7" customHeight="1" x14ac:dyDescent="0.25">
      <c r="A69" s="6">
        <f t="shared" si="1"/>
        <v>40320</v>
      </c>
      <c r="B69" s="7">
        <f t="shared" si="7"/>
        <v>186232</v>
      </c>
      <c r="C69" s="7">
        <v>81410</v>
      </c>
      <c r="D69" s="7">
        <v>422</v>
      </c>
      <c r="E69" s="7">
        <v>522</v>
      </c>
      <c r="F69" s="7">
        <v>41674</v>
      </c>
      <c r="G69" s="7">
        <v>21097</v>
      </c>
      <c r="H69" s="7">
        <v>19677</v>
      </c>
      <c r="I69" s="7">
        <v>8794</v>
      </c>
      <c r="J69" s="7">
        <v>12636</v>
      </c>
      <c r="K69" s="7">
        <f t="shared" si="5"/>
        <v>39911</v>
      </c>
      <c r="L69" s="7">
        <f t="shared" si="3"/>
        <v>-25953</v>
      </c>
      <c r="M69" s="8">
        <f t="shared" si="6"/>
        <v>0.27276330806924509</v>
      </c>
      <c r="N69" s="8">
        <f t="shared" si="4"/>
        <v>-0.24173132270894071</v>
      </c>
      <c r="O69" s="7">
        <v>6418</v>
      </c>
      <c r="Q69" s="3"/>
      <c r="R69" s="3"/>
      <c r="S69" s="6"/>
      <c r="T69" s="7"/>
      <c r="U69" s="7"/>
      <c r="V69" s="7"/>
      <c r="W69" s="7"/>
      <c r="X69" s="7"/>
      <c r="Y69" s="7"/>
      <c r="Z69" s="7"/>
      <c r="AA69" s="7"/>
      <c r="AB69" s="7"/>
      <c r="AC69" s="7"/>
      <c r="AD69" s="7"/>
      <c r="AE69" s="8"/>
      <c r="AF69" s="8"/>
      <c r="AG69" s="6"/>
    </row>
    <row r="70" spans="1:33" ht="19.7" customHeight="1" x14ac:dyDescent="0.25">
      <c r="A70" s="6">
        <f t="shared" ref="A70:A133" si="8">A69+7</f>
        <v>40327</v>
      </c>
      <c r="B70" s="7">
        <f t="shared" si="7"/>
        <v>185301</v>
      </c>
      <c r="C70" s="7">
        <v>80348</v>
      </c>
      <c r="D70" s="7">
        <v>471</v>
      </c>
      <c r="E70" s="7">
        <v>538</v>
      </c>
      <c r="F70" s="7">
        <v>41200</v>
      </c>
      <c r="G70" s="7">
        <v>20991</v>
      </c>
      <c r="H70" s="7">
        <v>20044</v>
      </c>
      <c r="I70" s="7">
        <v>8743</v>
      </c>
      <c r="J70" s="7">
        <v>12966</v>
      </c>
      <c r="K70" s="7">
        <f t="shared" si="5"/>
        <v>38040</v>
      </c>
      <c r="L70" s="7">
        <f t="shared" si="3"/>
        <v>-25949</v>
      </c>
      <c r="M70" s="8">
        <f t="shared" si="6"/>
        <v>0.25831686597266068</v>
      </c>
      <c r="N70" s="8">
        <f t="shared" si="4"/>
        <v>-0.24411789608361478</v>
      </c>
      <c r="O70" s="7">
        <v>7939</v>
      </c>
      <c r="Q70" s="3"/>
      <c r="R70" s="3"/>
      <c r="S70" s="6"/>
      <c r="T70" s="7"/>
      <c r="U70" s="7"/>
      <c r="V70" s="7"/>
      <c r="W70" s="7"/>
      <c r="X70" s="7"/>
      <c r="Y70" s="7"/>
      <c r="Z70" s="7"/>
      <c r="AA70" s="7"/>
      <c r="AB70" s="7"/>
      <c r="AC70" s="7"/>
      <c r="AD70" s="7"/>
      <c r="AE70" s="8"/>
      <c r="AF70" s="8"/>
      <c r="AG70" s="6"/>
    </row>
    <row r="71" spans="1:33" ht="19.7" customHeight="1" x14ac:dyDescent="0.25">
      <c r="A71" s="6">
        <f t="shared" si="8"/>
        <v>40334</v>
      </c>
      <c r="B71" s="7">
        <f t="shared" si="7"/>
        <v>183626</v>
      </c>
      <c r="C71" s="7">
        <v>79815</v>
      </c>
      <c r="D71" s="7">
        <v>651</v>
      </c>
      <c r="E71" s="7">
        <v>526</v>
      </c>
      <c r="F71" s="7">
        <v>39953</v>
      </c>
      <c r="G71" s="7">
        <v>20854</v>
      </c>
      <c r="H71" s="7">
        <v>20124</v>
      </c>
      <c r="I71" s="7">
        <v>8657</v>
      </c>
      <c r="J71" s="7">
        <v>13046</v>
      </c>
      <c r="K71" s="7">
        <f t="shared" si="5"/>
        <v>30909</v>
      </c>
      <c r="L71" s="7">
        <f t="shared" si="3"/>
        <v>-29136</v>
      </c>
      <c r="M71" s="8">
        <f t="shared" si="6"/>
        <v>0.20239397054682851</v>
      </c>
      <c r="N71" s="8">
        <f t="shared" si="4"/>
        <v>-0.26742296995897241</v>
      </c>
      <c r="O71" s="7">
        <v>7588</v>
      </c>
      <c r="Q71" s="3"/>
      <c r="R71" s="3"/>
      <c r="S71" s="6"/>
      <c r="T71" s="7"/>
      <c r="U71" s="7"/>
      <c r="V71" s="7"/>
      <c r="W71" s="7"/>
      <c r="X71" s="7"/>
      <c r="Y71" s="7"/>
      <c r="Z71" s="7"/>
      <c r="AA71" s="7"/>
      <c r="AB71" s="7"/>
      <c r="AC71" s="7"/>
      <c r="AD71" s="7"/>
      <c r="AE71" s="8"/>
      <c r="AF71" s="8"/>
      <c r="AG71" s="6"/>
    </row>
    <row r="72" spans="1:33" ht="19.7" customHeight="1" x14ac:dyDescent="0.25">
      <c r="A72" s="6">
        <f t="shared" si="8"/>
        <v>40341</v>
      </c>
      <c r="B72" s="7">
        <f t="shared" si="7"/>
        <v>188126</v>
      </c>
      <c r="C72" s="7">
        <v>82643</v>
      </c>
      <c r="D72" s="7">
        <v>749</v>
      </c>
      <c r="E72" s="7">
        <v>552</v>
      </c>
      <c r="F72" s="7">
        <v>40185</v>
      </c>
      <c r="G72" s="7">
        <v>21038</v>
      </c>
      <c r="H72" s="7">
        <v>20394</v>
      </c>
      <c r="I72" s="7">
        <v>8935</v>
      </c>
      <c r="J72" s="7">
        <v>13630</v>
      </c>
      <c r="K72" s="7">
        <f t="shared" si="5"/>
        <v>33934</v>
      </c>
      <c r="L72" s="7">
        <f t="shared" si="3"/>
        <v>-27500</v>
      </c>
      <c r="M72" s="8">
        <f t="shared" si="6"/>
        <v>0.22007626854830331</v>
      </c>
      <c r="N72" s="8">
        <f t="shared" si="4"/>
        <v>-0.24967542195146308</v>
      </c>
      <c r="O72" s="7">
        <v>7442</v>
      </c>
      <c r="Q72" s="3"/>
      <c r="R72" s="3"/>
      <c r="S72" s="6"/>
      <c r="T72" s="7"/>
      <c r="U72" s="7"/>
      <c r="V72" s="7"/>
      <c r="W72" s="7"/>
      <c r="X72" s="7"/>
      <c r="Y72" s="7"/>
      <c r="Z72" s="7"/>
      <c r="AA72" s="7"/>
      <c r="AB72" s="7"/>
      <c r="AC72" s="7"/>
      <c r="AD72" s="7"/>
      <c r="AE72" s="8"/>
      <c r="AF72" s="8"/>
      <c r="AG72" s="6"/>
    </row>
    <row r="73" spans="1:33" ht="19.7" customHeight="1" x14ac:dyDescent="0.25">
      <c r="A73" s="6">
        <f t="shared" si="8"/>
        <v>40348</v>
      </c>
      <c r="B73" s="7">
        <f t="shared" si="7"/>
        <v>188262</v>
      </c>
      <c r="C73" s="7">
        <v>83291</v>
      </c>
      <c r="D73" s="7">
        <v>796</v>
      </c>
      <c r="E73" s="7">
        <v>572</v>
      </c>
      <c r="F73" s="7">
        <v>39164</v>
      </c>
      <c r="G73" s="7">
        <v>21105</v>
      </c>
      <c r="H73" s="7">
        <v>20313</v>
      </c>
      <c r="I73" s="7">
        <v>9107</v>
      </c>
      <c r="J73" s="7">
        <v>13914</v>
      </c>
      <c r="K73" s="7">
        <f t="shared" si="5"/>
        <v>30112</v>
      </c>
      <c r="L73" s="7">
        <f t="shared" si="3"/>
        <v>-28479</v>
      </c>
      <c r="M73" s="8">
        <f t="shared" si="6"/>
        <v>0.19040151754663293</v>
      </c>
      <c r="N73" s="8">
        <f t="shared" si="4"/>
        <v>-0.25480003578777843</v>
      </c>
      <c r="O73" s="7">
        <v>6897</v>
      </c>
      <c r="Q73" s="3"/>
      <c r="R73" s="3"/>
      <c r="S73" s="6"/>
      <c r="T73" s="7"/>
      <c r="U73" s="7"/>
      <c r="V73" s="7"/>
      <c r="W73" s="7"/>
      <c r="X73" s="7"/>
      <c r="Y73" s="7"/>
      <c r="Z73" s="7"/>
      <c r="AA73" s="7"/>
      <c r="AB73" s="7"/>
      <c r="AC73" s="7"/>
      <c r="AD73" s="7"/>
      <c r="AE73" s="8"/>
      <c r="AF73" s="8"/>
      <c r="AG73" s="6"/>
    </row>
    <row r="74" spans="1:33" ht="19.7" customHeight="1" x14ac:dyDescent="0.25">
      <c r="A74" s="6">
        <f t="shared" si="8"/>
        <v>40355</v>
      </c>
      <c r="B74" s="7">
        <f t="shared" si="7"/>
        <v>187713</v>
      </c>
      <c r="C74" s="7">
        <v>83428</v>
      </c>
      <c r="D74" s="7">
        <v>824</v>
      </c>
      <c r="E74" s="7">
        <v>548</v>
      </c>
      <c r="F74" s="7">
        <v>38538</v>
      </c>
      <c r="G74" s="7">
        <v>21130</v>
      </c>
      <c r="H74" s="7">
        <v>20235</v>
      </c>
      <c r="I74" s="7">
        <v>9261</v>
      </c>
      <c r="J74" s="7">
        <v>13749</v>
      </c>
      <c r="K74" s="7">
        <f t="shared" si="5"/>
        <v>29506</v>
      </c>
      <c r="L74" s="7">
        <f t="shared" si="3"/>
        <v>-28021</v>
      </c>
      <c r="M74" s="8">
        <f t="shared" si="6"/>
        <v>0.18650249356855264</v>
      </c>
      <c r="N74" s="8">
        <f t="shared" si="4"/>
        <v>-0.25142441834381646</v>
      </c>
      <c r="O74" s="7">
        <v>6574</v>
      </c>
      <c r="Q74" s="3"/>
      <c r="R74" s="3"/>
      <c r="S74" s="6"/>
      <c r="T74" s="7"/>
      <c r="U74" s="7"/>
      <c r="V74" s="7"/>
      <c r="W74" s="7"/>
      <c r="X74" s="7"/>
      <c r="Y74" s="7"/>
      <c r="Z74" s="7"/>
      <c r="AA74" s="7"/>
      <c r="AB74" s="7"/>
      <c r="AC74" s="7"/>
      <c r="AD74" s="7"/>
      <c r="AE74" s="8"/>
      <c r="AF74" s="8"/>
      <c r="AG74" s="6"/>
    </row>
    <row r="75" spans="1:33" ht="19.7" customHeight="1" x14ac:dyDescent="0.25">
      <c r="A75" s="6">
        <f t="shared" si="8"/>
        <v>40362</v>
      </c>
      <c r="B75" s="7">
        <f t="shared" si="7"/>
        <v>185203</v>
      </c>
      <c r="C75" s="7">
        <v>82601</v>
      </c>
      <c r="D75" s="7">
        <v>805</v>
      </c>
      <c r="E75" s="7">
        <v>544</v>
      </c>
      <c r="F75" s="7">
        <v>37309</v>
      </c>
      <c r="G75" s="7">
        <v>21023</v>
      </c>
      <c r="H75" s="7">
        <v>20083</v>
      </c>
      <c r="I75" s="7">
        <v>9238</v>
      </c>
      <c r="J75" s="7">
        <v>13600</v>
      </c>
      <c r="K75" s="7">
        <f t="shared" si="5"/>
        <v>28622</v>
      </c>
      <c r="L75" s="7">
        <f t="shared" si="3"/>
        <v>-27422</v>
      </c>
      <c r="M75" s="8">
        <f t="shared" si="6"/>
        <v>0.18279357010109787</v>
      </c>
      <c r="N75" s="8">
        <f t="shared" si="4"/>
        <v>-0.24923879552457218</v>
      </c>
      <c r="O75" s="7">
        <v>7209</v>
      </c>
      <c r="Q75" s="3"/>
      <c r="R75" s="3"/>
      <c r="S75" s="6"/>
      <c r="T75" s="7"/>
      <c r="U75" s="7"/>
      <c r="V75" s="7"/>
      <c r="W75" s="7"/>
      <c r="X75" s="7"/>
      <c r="Y75" s="7"/>
      <c r="Z75" s="7"/>
      <c r="AA75" s="7"/>
      <c r="AB75" s="7"/>
      <c r="AC75" s="7"/>
      <c r="AD75" s="7"/>
      <c r="AE75" s="8"/>
      <c r="AF75" s="8"/>
      <c r="AG75" s="6"/>
    </row>
    <row r="76" spans="1:33" ht="19.7" customHeight="1" x14ac:dyDescent="0.25">
      <c r="A76" s="6">
        <f t="shared" si="8"/>
        <v>40369</v>
      </c>
      <c r="B76" s="7">
        <f t="shared" si="7"/>
        <v>182113</v>
      </c>
      <c r="C76" s="7">
        <v>81516</v>
      </c>
      <c r="D76" s="7">
        <v>899</v>
      </c>
      <c r="E76" s="7">
        <v>558</v>
      </c>
      <c r="F76" s="7">
        <v>35789</v>
      </c>
      <c r="G76" s="7">
        <v>20572</v>
      </c>
      <c r="H76" s="7">
        <v>19739</v>
      </c>
      <c r="I76" s="7">
        <v>9507</v>
      </c>
      <c r="J76" s="7">
        <v>13533</v>
      </c>
      <c r="K76" s="7">
        <f t="shared" si="5"/>
        <v>21878</v>
      </c>
      <c r="L76" s="7">
        <f t="shared" si="3"/>
        <v>-31402</v>
      </c>
      <c r="M76" s="8">
        <f t="shared" si="6"/>
        <v>0.13653696133803472</v>
      </c>
      <c r="N76" s="8">
        <f t="shared" si="4"/>
        <v>-0.27809560920313858</v>
      </c>
      <c r="O76" s="7">
        <v>8414</v>
      </c>
      <c r="Q76" s="3"/>
      <c r="R76" s="3"/>
      <c r="S76" s="6"/>
      <c r="T76" s="7"/>
      <c r="U76" s="7"/>
      <c r="V76" s="7"/>
      <c r="W76" s="7"/>
      <c r="X76" s="7"/>
      <c r="Y76" s="7"/>
      <c r="Z76" s="7"/>
      <c r="AA76" s="7"/>
      <c r="AB76" s="7"/>
      <c r="AC76" s="7"/>
      <c r="AD76" s="7"/>
      <c r="AE76" s="8"/>
      <c r="AF76" s="8"/>
      <c r="AG76" s="6"/>
    </row>
    <row r="77" spans="1:33" ht="19.7" customHeight="1" x14ac:dyDescent="0.25">
      <c r="A77" s="6">
        <f t="shared" si="8"/>
        <v>40376</v>
      </c>
      <c r="B77" s="7">
        <f t="shared" si="7"/>
        <v>185171</v>
      </c>
      <c r="C77" s="7">
        <v>87615</v>
      </c>
      <c r="D77" s="7">
        <v>935</v>
      </c>
      <c r="E77" s="7">
        <v>602</v>
      </c>
      <c r="F77" s="7">
        <v>33141</v>
      </c>
      <c r="G77" s="7">
        <v>20168</v>
      </c>
      <c r="H77" s="7">
        <v>19330</v>
      </c>
      <c r="I77" s="7">
        <v>9910</v>
      </c>
      <c r="J77" s="7">
        <v>13470</v>
      </c>
      <c r="K77" s="7">
        <f t="shared" si="5"/>
        <v>16401</v>
      </c>
      <c r="L77" s="7">
        <f t="shared" si="3"/>
        <v>-28241</v>
      </c>
      <c r="M77" s="8">
        <f t="shared" si="6"/>
        <v>9.7179593529655772E-2</v>
      </c>
      <c r="N77" s="8">
        <f t="shared" si="4"/>
        <v>-0.24375949454495238</v>
      </c>
      <c r="O77" s="7">
        <v>7697</v>
      </c>
      <c r="Q77" s="3"/>
      <c r="R77" s="3"/>
      <c r="S77" s="6"/>
      <c r="T77" s="7"/>
      <c r="U77" s="7"/>
      <c r="V77" s="7"/>
      <c r="W77" s="7"/>
      <c r="X77" s="7"/>
      <c r="Y77" s="7"/>
      <c r="Z77" s="7"/>
      <c r="AA77" s="7"/>
      <c r="AB77" s="7"/>
      <c r="AC77" s="7"/>
      <c r="AD77" s="7"/>
      <c r="AE77" s="8"/>
      <c r="AF77" s="8"/>
      <c r="AG77" s="6"/>
    </row>
    <row r="78" spans="1:33" ht="19.7" customHeight="1" x14ac:dyDescent="0.25">
      <c r="A78" s="6">
        <f t="shared" si="8"/>
        <v>40383</v>
      </c>
      <c r="B78" s="7">
        <f t="shared" si="7"/>
        <v>179924</v>
      </c>
      <c r="C78" s="7">
        <v>85220</v>
      </c>
      <c r="D78" s="7">
        <v>938</v>
      </c>
      <c r="E78" s="7">
        <v>566</v>
      </c>
      <c r="F78" s="7">
        <v>30171</v>
      </c>
      <c r="G78" s="7">
        <v>19809</v>
      </c>
      <c r="H78" s="7">
        <v>18753</v>
      </c>
      <c r="I78" s="7">
        <v>10535</v>
      </c>
      <c r="J78" s="7">
        <v>13932</v>
      </c>
      <c r="K78" s="7">
        <f t="shared" si="5"/>
        <v>5893</v>
      </c>
      <c r="L78" s="7">
        <f t="shared" si="3"/>
        <v>-31295</v>
      </c>
      <c r="M78" s="8">
        <f t="shared" si="6"/>
        <v>3.3861783245513699E-2</v>
      </c>
      <c r="N78" s="8">
        <f t="shared" si="4"/>
        <v>-0.26859202677766814</v>
      </c>
      <c r="O78" s="7">
        <v>6925</v>
      </c>
      <c r="Q78" s="3"/>
      <c r="R78" s="3"/>
      <c r="S78" s="6"/>
      <c r="T78" s="7"/>
      <c r="U78" s="7"/>
      <c r="V78" s="7"/>
      <c r="W78" s="7"/>
      <c r="X78" s="7"/>
      <c r="Y78" s="7"/>
      <c r="Z78" s="7"/>
      <c r="AA78" s="7"/>
      <c r="AB78" s="7"/>
      <c r="AC78" s="7"/>
      <c r="AD78" s="7"/>
      <c r="AE78" s="8"/>
      <c r="AF78" s="8"/>
      <c r="AG78" s="6"/>
    </row>
    <row r="79" spans="1:33" ht="19.7" customHeight="1" x14ac:dyDescent="0.25">
      <c r="A79" s="6">
        <f t="shared" si="8"/>
        <v>40390</v>
      </c>
      <c r="B79" s="7">
        <f t="shared" si="7"/>
        <v>187385</v>
      </c>
      <c r="C79" s="7">
        <v>85516</v>
      </c>
      <c r="D79" s="7">
        <v>898</v>
      </c>
      <c r="E79" s="7">
        <v>584</v>
      </c>
      <c r="F79" s="7">
        <v>34074</v>
      </c>
      <c r="G79" s="7">
        <v>20044</v>
      </c>
      <c r="H79" s="7">
        <v>18951</v>
      </c>
      <c r="I79" s="7">
        <v>11764</v>
      </c>
      <c r="J79" s="7">
        <v>15554</v>
      </c>
      <c r="K79" s="7">
        <f t="shared" si="5"/>
        <v>14240</v>
      </c>
      <c r="L79" s="7">
        <f t="shared" si="3"/>
        <v>-31085</v>
      </c>
      <c r="M79" s="8">
        <f t="shared" si="6"/>
        <v>8.2243206560974835E-2</v>
      </c>
      <c r="N79" s="8">
        <f t="shared" si="4"/>
        <v>-0.26659291086697368</v>
      </c>
      <c r="O79" s="7">
        <v>6705</v>
      </c>
      <c r="Q79" s="3"/>
      <c r="R79" s="3"/>
      <c r="S79" s="6"/>
      <c r="T79" s="7"/>
      <c r="U79" s="7"/>
      <c r="V79" s="7"/>
      <c r="W79" s="7"/>
      <c r="X79" s="7"/>
      <c r="Y79" s="7"/>
      <c r="Z79" s="7"/>
      <c r="AA79" s="7"/>
      <c r="AB79" s="7"/>
      <c r="AC79" s="7"/>
      <c r="AD79" s="7"/>
      <c r="AE79" s="8"/>
      <c r="AF79" s="8"/>
      <c r="AG79" s="6"/>
    </row>
    <row r="80" spans="1:33" ht="19.7" customHeight="1" x14ac:dyDescent="0.25">
      <c r="A80" s="6">
        <f t="shared" si="8"/>
        <v>40397</v>
      </c>
      <c r="B80" s="7">
        <f t="shared" si="7"/>
        <v>184719</v>
      </c>
      <c r="C80" s="7">
        <v>84182</v>
      </c>
      <c r="D80" s="7">
        <v>852</v>
      </c>
      <c r="E80" s="7">
        <v>594</v>
      </c>
      <c r="F80" s="7">
        <v>35251</v>
      </c>
      <c r="G80" s="7">
        <v>20283</v>
      </c>
      <c r="H80" s="7">
        <v>18869</v>
      </c>
      <c r="I80" s="7">
        <v>10310</v>
      </c>
      <c r="J80" s="7">
        <v>14378</v>
      </c>
      <c r="K80" s="7">
        <f t="shared" si="5"/>
        <v>12724</v>
      </c>
      <c r="L80" s="7">
        <f t="shared" si="3"/>
        <v>-30225</v>
      </c>
      <c r="M80" s="8">
        <f t="shared" si="6"/>
        <v>7.3978894735312162E-2</v>
      </c>
      <c r="N80" s="8">
        <f t="shared" si="4"/>
        <v>-0.26418838008163836</v>
      </c>
      <c r="O80" s="7">
        <v>6657</v>
      </c>
      <c r="Q80" s="3"/>
      <c r="R80" s="3"/>
      <c r="S80" s="6"/>
      <c r="T80" s="7"/>
      <c r="U80" s="7"/>
      <c r="V80" s="7"/>
      <c r="W80" s="7"/>
      <c r="X80" s="7"/>
      <c r="Y80" s="7"/>
      <c r="Z80" s="7"/>
      <c r="AA80" s="7"/>
      <c r="AB80" s="7"/>
      <c r="AC80" s="7"/>
      <c r="AD80" s="7"/>
      <c r="AE80" s="8"/>
      <c r="AF80" s="8"/>
      <c r="AG80" s="6"/>
    </row>
    <row r="81" spans="1:33" ht="19.7" customHeight="1" x14ac:dyDescent="0.25">
      <c r="A81" s="6">
        <f t="shared" si="8"/>
        <v>40404</v>
      </c>
      <c r="B81" s="7">
        <f t="shared" si="7"/>
        <v>184898</v>
      </c>
      <c r="C81" s="7">
        <v>83187</v>
      </c>
      <c r="D81" s="7">
        <v>729</v>
      </c>
      <c r="E81" s="7">
        <v>611</v>
      </c>
      <c r="F81" s="7">
        <v>35367</v>
      </c>
      <c r="G81" s="7">
        <v>20265</v>
      </c>
      <c r="H81" s="7">
        <v>18953</v>
      </c>
      <c r="I81" s="7">
        <v>10582</v>
      </c>
      <c r="J81" s="7">
        <v>15204</v>
      </c>
      <c r="K81" s="7">
        <f t="shared" si="5"/>
        <v>10366</v>
      </c>
      <c r="L81" s="7">
        <f t="shared" si="3"/>
        <v>-30480</v>
      </c>
      <c r="M81" s="8">
        <f t="shared" si="6"/>
        <v>5.9393119886324675E-2</v>
      </c>
      <c r="N81" s="8">
        <f t="shared" si="4"/>
        <v>-0.26815170629998153</v>
      </c>
      <c r="O81" s="7">
        <v>6476</v>
      </c>
      <c r="Q81" s="3"/>
      <c r="R81" s="3"/>
      <c r="S81" s="6"/>
      <c r="T81" s="7"/>
      <c r="U81" s="7"/>
      <c r="V81" s="7"/>
      <c r="W81" s="7"/>
      <c r="X81" s="7"/>
      <c r="Y81" s="7"/>
      <c r="Z81" s="7"/>
      <c r="AA81" s="7"/>
      <c r="AB81" s="7"/>
      <c r="AC81" s="7"/>
      <c r="AD81" s="7"/>
      <c r="AE81" s="8"/>
      <c r="AF81" s="8"/>
      <c r="AG81" s="6"/>
    </row>
    <row r="82" spans="1:33" ht="19.7" customHeight="1" x14ac:dyDescent="0.25">
      <c r="A82" s="6">
        <f t="shared" si="8"/>
        <v>40411</v>
      </c>
      <c r="B82" s="7">
        <f t="shared" si="7"/>
        <v>181688</v>
      </c>
      <c r="C82" s="7">
        <v>80585</v>
      </c>
      <c r="D82" s="7">
        <v>637</v>
      </c>
      <c r="E82" s="7">
        <v>603</v>
      </c>
      <c r="F82" s="7">
        <v>35038</v>
      </c>
      <c r="G82" s="7">
        <v>20283</v>
      </c>
      <c r="H82" s="7">
        <v>18564</v>
      </c>
      <c r="I82" s="7">
        <v>10592</v>
      </c>
      <c r="J82" s="7">
        <v>15386</v>
      </c>
      <c r="K82" s="7">
        <f t="shared" si="5"/>
        <v>6781</v>
      </c>
      <c r="L82" s="7">
        <f t="shared" si="3"/>
        <v>-30695</v>
      </c>
      <c r="M82" s="8">
        <f t="shared" si="6"/>
        <v>3.8769174475578483E-2</v>
      </c>
      <c r="N82" s="8">
        <f t="shared" si="4"/>
        <v>-0.27583572969086989</v>
      </c>
      <c r="O82" s="7">
        <v>5909</v>
      </c>
      <c r="Q82" s="3"/>
      <c r="R82" s="3"/>
      <c r="S82" s="6"/>
      <c r="T82" s="7"/>
      <c r="U82" s="7"/>
      <c r="V82" s="7"/>
      <c r="W82" s="7"/>
      <c r="X82" s="7"/>
      <c r="Y82" s="7"/>
      <c r="Z82" s="7"/>
      <c r="AA82" s="7"/>
      <c r="AB82" s="7"/>
      <c r="AC82" s="7"/>
      <c r="AD82" s="7"/>
      <c r="AE82" s="8"/>
      <c r="AF82" s="8"/>
      <c r="AG82" s="6"/>
    </row>
    <row r="83" spans="1:33" ht="19.7" customHeight="1" x14ac:dyDescent="0.25">
      <c r="A83" s="6">
        <f t="shared" si="8"/>
        <v>40418</v>
      </c>
      <c r="B83" s="7">
        <f t="shared" si="7"/>
        <v>181523</v>
      </c>
      <c r="C83" s="7">
        <v>79577</v>
      </c>
      <c r="D83" s="7">
        <v>650</v>
      </c>
      <c r="E83" s="7">
        <v>596</v>
      </c>
      <c r="F83" s="7">
        <v>35032</v>
      </c>
      <c r="G83" s="7">
        <v>20191</v>
      </c>
      <c r="H83" s="7">
        <v>18787</v>
      </c>
      <c r="I83" s="7">
        <v>10640</v>
      </c>
      <c r="J83" s="7">
        <v>16050</v>
      </c>
      <c r="K83" s="7">
        <f t="shared" si="5"/>
        <v>4976</v>
      </c>
      <c r="L83" s="7">
        <f t="shared" si="3"/>
        <v>-31245</v>
      </c>
      <c r="M83" s="8">
        <f t="shared" si="6"/>
        <v>2.818512917240179E-2</v>
      </c>
      <c r="N83" s="8">
        <f t="shared" si="4"/>
        <v>-0.28193860424825401</v>
      </c>
      <c r="O83" s="7">
        <v>6225</v>
      </c>
      <c r="Q83" s="3"/>
      <c r="R83" s="3"/>
      <c r="S83" s="6"/>
      <c r="T83" s="7"/>
      <c r="U83" s="7"/>
      <c r="V83" s="7"/>
      <c r="W83" s="7"/>
      <c r="X83" s="7"/>
      <c r="Y83" s="7"/>
      <c r="Z83" s="7"/>
      <c r="AA83" s="7"/>
      <c r="AB83" s="7"/>
      <c r="AC83" s="7"/>
      <c r="AD83" s="7"/>
      <c r="AE83" s="8"/>
      <c r="AF83" s="8"/>
      <c r="AG83" s="6"/>
    </row>
    <row r="84" spans="1:33" ht="19.7" customHeight="1" x14ac:dyDescent="0.25">
      <c r="A84" s="6">
        <f t="shared" si="8"/>
        <v>40425</v>
      </c>
      <c r="B84" s="7">
        <f t="shared" si="7"/>
        <v>179419</v>
      </c>
      <c r="C84" s="7">
        <v>78176</v>
      </c>
      <c r="D84" s="7">
        <v>652</v>
      </c>
      <c r="E84" s="7">
        <v>577</v>
      </c>
      <c r="F84" s="7">
        <v>34649</v>
      </c>
      <c r="G84" s="7">
        <v>20023</v>
      </c>
      <c r="H84" s="7">
        <v>18803</v>
      </c>
      <c r="I84" s="7">
        <v>10431</v>
      </c>
      <c r="J84" s="7">
        <v>16108</v>
      </c>
      <c r="K84" s="7">
        <f t="shared" si="5"/>
        <v>3475</v>
      </c>
      <c r="L84" s="7">
        <f t="shared" si="3"/>
        <v>-31209</v>
      </c>
      <c r="M84" s="8">
        <f t="shared" si="6"/>
        <v>1.9750602464420508E-2</v>
      </c>
      <c r="N84" s="8">
        <f t="shared" si="4"/>
        <v>-0.28531334278008869</v>
      </c>
      <c r="O84" s="7">
        <v>6288</v>
      </c>
      <c r="Q84" s="3"/>
      <c r="R84" s="3"/>
      <c r="S84" s="6"/>
      <c r="T84" s="7"/>
      <c r="U84" s="7"/>
      <c r="V84" s="7"/>
      <c r="W84" s="7"/>
      <c r="X84" s="7"/>
      <c r="Y84" s="7"/>
      <c r="Z84" s="7"/>
      <c r="AA84" s="7"/>
      <c r="AB84" s="7"/>
      <c r="AC84" s="7"/>
      <c r="AD84" s="7"/>
      <c r="AE84" s="8"/>
      <c r="AF84" s="8"/>
      <c r="AG84" s="6"/>
    </row>
    <row r="85" spans="1:33" ht="19.7" customHeight="1" x14ac:dyDescent="0.25">
      <c r="A85" s="6">
        <f t="shared" si="8"/>
        <v>40432</v>
      </c>
      <c r="B85" s="7">
        <f t="shared" si="7"/>
        <v>174806</v>
      </c>
      <c r="C85" s="7">
        <v>75095</v>
      </c>
      <c r="D85" s="7">
        <v>556</v>
      </c>
      <c r="E85" s="7">
        <v>547</v>
      </c>
      <c r="F85" s="7">
        <v>33717</v>
      </c>
      <c r="G85" s="7">
        <v>19684</v>
      </c>
      <c r="H85" s="7">
        <v>18922</v>
      </c>
      <c r="I85" s="7">
        <v>10172</v>
      </c>
      <c r="J85" s="7">
        <v>16113</v>
      </c>
      <c r="K85" s="7">
        <f t="shared" si="5"/>
        <v>794</v>
      </c>
      <c r="L85" s="7">
        <f t="shared" si="3"/>
        <v>-31609</v>
      </c>
      <c r="M85" s="8">
        <f t="shared" si="6"/>
        <v>4.5629037077903334E-3</v>
      </c>
      <c r="N85" s="8">
        <f t="shared" si="4"/>
        <v>-0.2962306942570101</v>
      </c>
      <c r="O85" s="7">
        <v>5169</v>
      </c>
      <c r="Q85" s="3"/>
      <c r="R85" s="3"/>
      <c r="S85" s="6"/>
      <c r="T85" s="7"/>
      <c r="U85" s="7"/>
      <c r="V85" s="7"/>
      <c r="W85" s="7"/>
      <c r="X85" s="7"/>
      <c r="Y85" s="7"/>
      <c r="Z85" s="7"/>
      <c r="AA85" s="7"/>
      <c r="AB85" s="7"/>
      <c r="AC85" s="7"/>
      <c r="AD85" s="7"/>
      <c r="AE85" s="8"/>
      <c r="AF85" s="8"/>
      <c r="AG85" s="6"/>
    </row>
    <row r="86" spans="1:33" ht="19.7" customHeight="1" x14ac:dyDescent="0.25">
      <c r="A86" s="6">
        <f t="shared" si="8"/>
        <v>40439</v>
      </c>
      <c r="B86" s="7">
        <f t="shared" si="7"/>
        <v>174093</v>
      </c>
      <c r="C86" s="7">
        <v>74796</v>
      </c>
      <c r="D86" s="7">
        <v>579</v>
      </c>
      <c r="E86" s="7">
        <v>549</v>
      </c>
      <c r="F86" s="7">
        <v>33498</v>
      </c>
      <c r="G86" s="7">
        <v>19428</v>
      </c>
      <c r="H86" s="7">
        <v>18846</v>
      </c>
      <c r="I86" s="7">
        <v>10161</v>
      </c>
      <c r="J86" s="7">
        <v>16236</v>
      </c>
      <c r="K86" s="7">
        <f t="shared" si="5"/>
        <v>-3493</v>
      </c>
      <c r="L86" s="7">
        <f t="shared" si="3"/>
        <v>-32080</v>
      </c>
      <c r="M86" s="8">
        <f t="shared" si="6"/>
        <v>-1.9669343304089315E-2</v>
      </c>
      <c r="N86" s="8">
        <f t="shared" si="4"/>
        <v>-0.30016093416669787</v>
      </c>
      <c r="O86" s="7">
        <v>5526</v>
      </c>
      <c r="Q86" s="3"/>
      <c r="R86" s="3"/>
      <c r="S86" s="6"/>
      <c r="T86" s="7"/>
      <c r="U86" s="7"/>
      <c r="V86" s="7"/>
      <c r="W86" s="7"/>
      <c r="X86" s="7"/>
      <c r="Y86" s="7"/>
      <c r="Z86" s="7"/>
      <c r="AA86" s="7"/>
      <c r="AB86" s="7"/>
      <c r="AC86" s="7"/>
      <c r="AD86" s="7"/>
      <c r="AE86" s="8"/>
      <c r="AF86" s="8"/>
      <c r="AG86" s="6"/>
    </row>
    <row r="87" spans="1:33" ht="19.7" customHeight="1" x14ac:dyDescent="0.25">
      <c r="A87" s="6">
        <f t="shared" si="8"/>
        <v>40446</v>
      </c>
      <c r="B87" s="7">
        <f t="shared" si="7"/>
        <v>173151</v>
      </c>
      <c r="C87" s="7">
        <v>72924</v>
      </c>
      <c r="D87" s="7">
        <v>615</v>
      </c>
      <c r="E87" s="7">
        <v>586</v>
      </c>
      <c r="F87" s="7">
        <v>33245</v>
      </c>
      <c r="G87" s="7">
        <v>19357</v>
      </c>
      <c r="H87" s="7">
        <v>18935</v>
      </c>
      <c r="I87" s="7">
        <v>10182</v>
      </c>
      <c r="J87" s="7">
        <v>17307</v>
      </c>
      <c r="K87" s="7">
        <f t="shared" si="5"/>
        <v>-4006</v>
      </c>
      <c r="L87" s="7">
        <f t="shared" si="3"/>
        <v>-32235</v>
      </c>
      <c r="M87" s="8">
        <f t="shared" si="6"/>
        <v>-2.261271075938287E-2</v>
      </c>
      <c r="N87" s="8">
        <f t="shared" si="4"/>
        <v>-0.30653581719111056</v>
      </c>
      <c r="O87" s="7">
        <v>5695</v>
      </c>
      <c r="Q87" s="3"/>
      <c r="R87" s="3"/>
      <c r="S87" s="6"/>
      <c r="T87" s="7"/>
      <c r="U87" s="7"/>
      <c r="V87" s="7"/>
      <c r="W87" s="7"/>
      <c r="X87" s="7"/>
      <c r="Y87" s="7"/>
      <c r="Z87" s="7"/>
      <c r="AA87" s="7"/>
      <c r="AB87" s="7"/>
      <c r="AC87" s="7"/>
      <c r="AD87" s="7"/>
      <c r="AE87" s="8"/>
      <c r="AF87" s="8"/>
      <c r="AG87" s="6"/>
    </row>
    <row r="88" spans="1:33" ht="19.7" customHeight="1" x14ac:dyDescent="0.25">
      <c r="A88" s="6">
        <f t="shared" si="8"/>
        <v>40453</v>
      </c>
      <c r="B88" s="7">
        <f t="shared" si="7"/>
        <v>171379</v>
      </c>
      <c r="C88" s="7">
        <v>72084</v>
      </c>
      <c r="D88" s="7">
        <v>642</v>
      </c>
      <c r="E88" s="7">
        <v>562</v>
      </c>
      <c r="F88" s="7">
        <v>32995</v>
      </c>
      <c r="G88" s="7">
        <v>19099</v>
      </c>
      <c r="H88" s="7">
        <v>18870</v>
      </c>
      <c r="I88" s="7">
        <v>10067</v>
      </c>
      <c r="J88" s="7">
        <v>17060</v>
      </c>
      <c r="K88" s="7">
        <f t="shared" si="5"/>
        <v>-4796</v>
      </c>
      <c r="L88" s="7">
        <f t="shared" si="3"/>
        <v>-32144</v>
      </c>
      <c r="M88" s="8">
        <f t="shared" si="6"/>
        <v>-2.7222931744004586E-2</v>
      </c>
      <c r="N88" s="8">
        <f t="shared" si="4"/>
        <v>-0.30840081360095173</v>
      </c>
      <c r="O88" s="7">
        <v>5704</v>
      </c>
      <c r="Q88" s="3"/>
      <c r="R88" s="3"/>
      <c r="S88" s="6"/>
      <c r="T88" s="7"/>
      <c r="U88" s="7"/>
      <c r="V88" s="7"/>
      <c r="W88" s="7"/>
      <c r="X88" s="7"/>
      <c r="Y88" s="7"/>
      <c r="Z88" s="7"/>
      <c r="AA88" s="7"/>
      <c r="AB88" s="7"/>
      <c r="AC88" s="7"/>
      <c r="AD88" s="7"/>
      <c r="AE88" s="8"/>
      <c r="AF88" s="8"/>
      <c r="AG88" s="6"/>
    </row>
    <row r="89" spans="1:33" ht="19.7" customHeight="1" x14ac:dyDescent="0.25">
      <c r="A89" s="6">
        <f t="shared" si="8"/>
        <v>40460</v>
      </c>
      <c r="B89" s="7">
        <f t="shared" si="7"/>
        <v>169269</v>
      </c>
      <c r="C89" s="7">
        <v>70454</v>
      </c>
      <c r="D89" s="7">
        <v>652</v>
      </c>
      <c r="E89" s="7">
        <v>582</v>
      </c>
      <c r="F89" s="7">
        <v>32235</v>
      </c>
      <c r="G89" s="7">
        <v>18812</v>
      </c>
      <c r="H89" s="7">
        <v>18765</v>
      </c>
      <c r="I89" s="7">
        <v>10062</v>
      </c>
      <c r="J89" s="7">
        <v>17707</v>
      </c>
      <c r="K89" s="7">
        <f t="shared" si="5"/>
        <v>-5562</v>
      </c>
      <c r="L89" s="7">
        <f t="shared" si="3"/>
        <v>-32279</v>
      </c>
      <c r="M89" s="8">
        <f t="shared" si="6"/>
        <v>-3.1813579971515349E-2</v>
      </c>
      <c r="N89" s="8">
        <f t="shared" si="4"/>
        <v>-0.31420283647902814</v>
      </c>
      <c r="O89" s="7">
        <v>7752</v>
      </c>
      <c r="Q89" s="3"/>
      <c r="R89" s="3"/>
      <c r="S89" s="6"/>
      <c r="T89" s="7"/>
      <c r="U89" s="7"/>
      <c r="V89" s="7"/>
      <c r="W89" s="7"/>
      <c r="X89" s="7"/>
      <c r="Y89" s="7"/>
      <c r="Z89" s="7"/>
      <c r="AA89" s="7"/>
      <c r="AB89" s="7"/>
      <c r="AC89" s="7"/>
      <c r="AD89" s="7"/>
      <c r="AE89" s="8"/>
      <c r="AF89" s="8"/>
      <c r="AG89" s="6"/>
    </row>
    <row r="90" spans="1:33" ht="19.7" customHeight="1" x14ac:dyDescent="0.25">
      <c r="A90" s="6">
        <f t="shared" si="8"/>
        <v>40467</v>
      </c>
      <c r="B90" s="7">
        <f t="shared" si="7"/>
        <v>167202</v>
      </c>
      <c r="C90" s="7">
        <v>70256</v>
      </c>
      <c r="D90" s="7">
        <v>724</v>
      </c>
      <c r="E90" s="7">
        <v>572</v>
      </c>
      <c r="F90" s="7">
        <v>31466</v>
      </c>
      <c r="G90" s="7">
        <v>18381</v>
      </c>
      <c r="H90" s="7">
        <v>18377</v>
      </c>
      <c r="I90" s="7">
        <v>9759</v>
      </c>
      <c r="J90" s="7">
        <v>17667</v>
      </c>
      <c r="K90" s="7">
        <f t="shared" si="5"/>
        <v>-6192</v>
      </c>
      <c r="L90" s="7">
        <f t="shared" si="3"/>
        <v>-31004</v>
      </c>
      <c r="M90" s="8">
        <f t="shared" si="6"/>
        <v>-3.5710578220699674E-2</v>
      </c>
      <c r="N90" s="8">
        <f t="shared" si="4"/>
        <v>-0.30618210547106461</v>
      </c>
      <c r="O90" s="7">
        <v>6106</v>
      </c>
      <c r="Q90" s="3"/>
      <c r="R90" s="3"/>
      <c r="S90" s="6"/>
      <c r="T90" s="7"/>
      <c r="U90" s="7"/>
      <c r="V90" s="7"/>
      <c r="W90" s="7"/>
      <c r="X90" s="7"/>
      <c r="Y90" s="7"/>
      <c r="Z90" s="7"/>
      <c r="AA90" s="7"/>
      <c r="AB90" s="7"/>
      <c r="AC90" s="7"/>
      <c r="AD90" s="7"/>
      <c r="AE90" s="8"/>
      <c r="AF90" s="8"/>
      <c r="AG90" s="6"/>
    </row>
    <row r="91" spans="1:33" ht="19.7" customHeight="1" x14ac:dyDescent="0.25">
      <c r="A91" s="6">
        <f t="shared" si="8"/>
        <v>40474</v>
      </c>
      <c r="B91" s="7">
        <f t="shared" si="7"/>
        <v>168436</v>
      </c>
      <c r="C91" s="7">
        <v>71381</v>
      </c>
      <c r="D91" s="7">
        <v>760</v>
      </c>
      <c r="E91" s="7">
        <v>550</v>
      </c>
      <c r="F91" s="7">
        <v>31749</v>
      </c>
      <c r="G91" s="7">
        <v>17952</v>
      </c>
      <c r="H91" s="7">
        <v>18213</v>
      </c>
      <c r="I91" s="7">
        <v>9691</v>
      </c>
      <c r="J91" s="7">
        <v>18140</v>
      </c>
      <c r="K91" s="7">
        <f t="shared" si="5"/>
        <v>-7158</v>
      </c>
      <c r="L91" s="7">
        <f t="shared" si="3"/>
        <v>-30589</v>
      </c>
      <c r="M91" s="8">
        <f t="shared" si="6"/>
        <v>-4.076449081403688E-2</v>
      </c>
      <c r="N91" s="8">
        <f t="shared" si="4"/>
        <v>-0.29998038638815339</v>
      </c>
      <c r="O91" s="7">
        <v>6042</v>
      </c>
      <c r="Q91" s="3"/>
      <c r="R91" s="3"/>
      <c r="S91" s="6"/>
      <c r="T91" s="7"/>
      <c r="U91" s="7"/>
      <c r="V91" s="7"/>
      <c r="W91" s="7"/>
      <c r="X91" s="7"/>
      <c r="Y91" s="7"/>
      <c r="Z91" s="7"/>
      <c r="AA91" s="7"/>
      <c r="AB91" s="7"/>
      <c r="AC91" s="7"/>
      <c r="AD91" s="7"/>
      <c r="AE91" s="8"/>
      <c r="AF91" s="8"/>
      <c r="AG91" s="6"/>
    </row>
    <row r="92" spans="1:33" ht="19.7" customHeight="1" x14ac:dyDescent="0.25">
      <c r="A92" s="6">
        <f t="shared" si="8"/>
        <v>40481</v>
      </c>
      <c r="B92" s="7">
        <f t="shared" si="7"/>
        <v>167391</v>
      </c>
      <c r="C92" s="7">
        <v>69726</v>
      </c>
      <c r="D92" s="7">
        <v>801</v>
      </c>
      <c r="E92" s="7">
        <v>636</v>
      </c>
      <c r="F92" s="7">
        <v>31561</v>
      </c>
      <c r="G92" s="7">
        <v>17573</v>
      </c>
      <c r="H92" s="7">
        <v>19153</v>
      </c>
      <c r="I92" s="7">
        <v>9701</v>
      </c>
      <c r="J92" s="7">
        <v>18240</v>
      </c>
      <c r="K92" s="7">
        <f t="shared" si="5"/>
        <v>-8119</v>
      </c>
      <c r="L92" s="7">
        <f t="shared" si="3"/>
        <v>-30900</v>
      </c>
      <c r="M92" s="8">
        <f t="shared" si="6"/>
        <v>-4.6259472394735379E-2</v>
      </c>
      <c r="N92" s="8">
        <f t="shared" si="4"/>
        <v>-0.30707769363782722</v>
      </c>
      <c r="O92" s="7">
        <v>5826</v>
      </c>
      <c r="Q92" s="3"/>
      <c r="R92" s="3"/>
      <c r="S92" s="6"/>
      <c r="T92" s="7"/>
      <c r="U92" s="7"/>
      <c r="V92" s="7"/>
      <c r="W92" s="7"/>
      <c r="X92" s="7"/>
      <c r="Y92" s="7"/>
      <c r="Z92" s="7"/>
      <c r="AA92" s="7"/>
      <c r="AB92" s="7"/>
      <c r="AC92" s="7"/>
      <c r="AD92" s="7"/>
      <c r="AE92" s="8"/>
      <c r="AF92" s="8"/>
      <c r="AG92" s="6"/>
    </row>
    <row r="93" spans="1:33" ht="19.7" customHeight="1" x14ac:dyDescent="0.25">
      <c r="A93" s="6">
        <f t="shared" si="8"/>
        <v>40488</v>
      </c>
      <c r="B93" s="7">
        <f t="shared" si="7"/>
        <v>164385</v>
      </c>
      <c r="C93" s="7">
        <v>68036</v>
      </c>
      <c r="D93" s="7">
        <v>816</v>
      </c>
      <c r="E93" s="7">
        <v>614</v>
      </c>
      <c r="F93" s="7">
        <v>31715</v>
      </c>
      <c r="G93" s="7">
        <v>17270</v>
      </c>
      <c r="H93" s="7">
        <v>18153</v>
      </c>
      <c r="I93" s="7">
        <v>9542</v>
      </c>
      <c r="J93" s="7">
        <v>18239</v>
      </c>
      <c r="K93" s="7">
        <f t="shared" si="5"/>
        <v>-10156</v>
      </c>
      <c r="L93" s="7">
        <f t="shared" si="3"/>
        <v>-30749</v>
      </c>
      <c r="M93" s="8">
        <f t="shared" si="6"/>
        <v>-5.8186901644885713E-2</v>
      </c>
      <c r="N93" s="8">
        <f t="shared" si="4"/>
        <v>-0.3112719542440654</v>
      </c>
      <c r="O93" s="7">
        <v>6128</v>
      </c>
      <c r="Q93" s="3"/>
      <c r="R93" s="3"/>
      <c r="S93" s="6"/>
      <c r="T93" s="7"/>
      <c r="U93" s="7"/>
      <c r="V93" s="7"/>
      <c r="W93" s="7"/>
      <c r="X93" s="7"/>
      <c r="Y93" s="7"/>
      <c r="Z93" s="7"/>
      <c r="AA93" s="7"/>
      <c r="AB93" s="7"/>
      <c r="AC93" s="7"/>
      <c r="AD93" s="7"/>
      <c r="AE93" s="8"/>
      <c r="AF93" s="8"/>
      <c r="AG93" s="6"/>
    </row>
    <row r="94" spans="1:33" ht="19.7" customHeight="1" x14ac:dyDescent="0.25">
      <c r="A94" s="6">
        <f t="shared" si="8"/>
        <v>40495</v>
      </c>
      <c r="B94" s="7">
        <f t="shared" si="7"/>
        <v>162309</v>
      </c>
      <c r="C94" s="7">
        <v>67019</v>
      </c>
      <c r="D94" s="7">
        <v>781</v>
      </c>
      <c r="E94" s="7">
        <v>573</v>
      </c>
      <c r="F94" s="7">
        <v>31444</v>
      </c>
      <c r="G94" s="7">
        <v>16976</v>
      </c>
      <c r="H94" s="7">
        <v>17829</v>
      </c>
      <c r="I94" s="7">
        <v>9494</v>
      </c>
      <c r="J94" s="7">
        <v>18193</v>
      </c>
      <c r="K94" s="7">
        <f t="shared" si="5"/>
        <v>-10671</v>
      </c>
      <c r="L94" s="7">
        <f t="shared" si="3"/>
        <v>-30116</v>
      </c>
      <c r="M94" s="8">
        <f t="shared" si="6"/>
        <v>-6.1689212625737122E-2</v>
      </c>
      <c r="N94" s="8">
        <f t="shared" si="4"/>
        <v>-0.31004272404385647</v>
      </c>
      <c r="O94" s="7">
        <v>5341</v>
      </c>
      <c r="Q94" s="3"/>
      <c r="R94" s="3"/>
      <c r="S94" s="6"/>
      <c r="T94" s="7"/>
      <c r="U94" s="7"/>
      <c r="V94" s="7"/>
      <c r="W94" s="7"/>
      <c r="X94" s="7"/>
      <c r="Y94" s="7"/>
      <c r="Z94" s="7"/>
      <c r="AA94" s="7"/>
      <c r="AB94" s="7"/>
      <c r="AC94" s="7"/>
      <c r="AD94" s="7"/>
      <c r="AE94" s="8"/>
      <c r="AF94" s="8"/>
      <c r="AG94" s="6"/>
    </row>
    <row r="95" spans="1:33" ht="19.7" customHeight="1" x14ac:dyDescent="0.25">
      <c r="A95" s="6">
        <f t="shared" si="8"/>
        <v>40502</v>
      </c>
      <c r="B95" s="7">
        <f t="shared" si="7"/>
        <v>162177</v>
      </c>
      <c r="C95" s="7">
        <v>66988</v>
      </c>
      <c r="D95" s="7">
        <v>816</v>
      </c>
      <c r="E95" s="7">
        <v>578</v>
      </c>
      <c r="F95" s="7">
        <v>31493</v>
      </c>
      <c r="G95" s="7">
        <v>16702</v>
      </c>
      <c r="H95" s="7">
        <v>17834</v>
      </c>
      <c r="I95" s="7">
        <v>9323</v>
      </c>
      <c r="J95" s="7">
        <v>18443</v>
      </c>
      <c r="K95" s="7">
        <f t="shared" si="5"/>
        <v>-22687</v>
      </c>
      <c r="L95" s="7">
        <f t="shared" si="3"/>
        <v>-31282</v>
      </c>
      <c r="M95" s="8">
        <f t="shared" si="6"/>
        <v>-0.12272265016444517</v>
      </c>
      <c r="N95" s="8">
        <f t="shared" si="4"/>
        <v>-0.31832705810522033</v>
      </c>
      <c r="O95" s="7">
        <v>5821</v>
      </c>
      <c r="Q95" s="3"/>
      <c r="R95" s="3"/>
      <c r="S95" s="6"/>
      <c r="T95" s="7"/>
      <c r="U95" s="7"/>
      <c r="V95" s="7"/>
      <c r="W95" s="7"/>
      <c r="X95" s="7"/>
      <c r="Y95" s="7"/>
      <c r="Z95" s="7"/>
      <c r="AA95" s="7"/>
      <c r="AB95" s="7"/>
      <c r="AC95" s="7"/>
      <c r="AD95" s="7"/>
      <c r="AE95" s="8"/>
      <c r="AF95" s="8"/>
      <c r="AG95" s="6"/>
    </row>
    <row r="96" spans="1:33" ht="19.7" customHeight="1" x14ac:dyDescent="0.25">
      <c r="A96" s="6">
        <f t="shared" si="8"/>
        <v>40509</v>
      </c>
      <c r="B96" s="7">
        <f t="shared" si="7"/>
        <v>153469</v>
      </c>
      <c r="C96" s="7">
        <v>62686</v>
      </c>
      <c r="D96" s="7">
        <v>765</v>
      </c>
      <c r="E96" s="7">
        <v>553</v>
      </c>
      <c r="F96" s="7">
        <v>30042</v>
      </c>
      <c r="G96" s="7">
        <v>15882</v>
      </c>
      <c r="H96" s="7">
        <v>17188</v>
      </c>
      <c r="I96" s="7">
        <v>9038</v>
      </c>
      <c r="J96" s="7">
        <v>17315</v>
      </c>
      <c r="K96" s="7">
        <f t="shared" si="5"/>
        <v>-27820</v>
      </c>
      <c r="L96" s="7">
        <f t="shared" si="3"/>
        <v>-30321</v>
      </c>
      <c r="M96" s="8">
        <f t="shared" si="6"/>
        <v>-0.15345663553773259</v>
      </c>
      <c r="N96" s="8">
        <f t="shared" si="4"/>
        <v>-0.32600771984904364</v>
      </c>
      <c r="O96" s="7">
        <v>3858</v>
      </c>
      <c r="Q96" s="3"/>
      <c r="R96" s="3"/>
      <c r="S96" s="6"/>
      <c r="T96" s="7"/>
      <c r="U96" s="7"/>
      <c r="V96" s="7"/>
      <c r="W96" s="7"/>
      <c r="X96" s="7"/>
      <c r="Y96" s="7"/>
      <c r="Z96" s="7"/>
      <c r="AA96" s="7"/>
      <c r="AB96" s="7"/>
      <c r="AC96" s="7"/>
      <c r="AD96" s="7"/>
      <c r="AE96" s="8"/>
      <c r="AF96" s="8"/>
      <c r="AG96" s="6"/>
    </row>
    <row r="97" spans="1:33" ht="19.7" customHeight="1" x14ac:dyDescent="0.25">
      <c r="A97" s="6">
        <f t="shared" si="8"/>
        <v>40516</v>
      </c>
      <c r="B97" s="7">
        <f t="shared" si="7"/>
        <v>159417</v>
      </c>
      <c r="C97" s="7">
        <v>66102</v>
      </c>
      <c r="D97" s="7">
        <v>810</v>
      </c>
      <c r="E97" s="7">
        <v>625</v>
      </c>
      <c r="F97" s="7">
        <v>30844</v>
      </c>
      <c r="G97" s="7">
        <v>15719</v>
      </c>
      <c r="H97" s="7">
        <v>17144</v>
      </c>
      <c r="I97" s="7">
        <v>9268</v>
      </c>
      <c r="J97" s="7">
        <v>18905</v>
      </c>
      <c r="K97" s="7">
        <f t="shared" si="5"/>
        <v>-31950</v>
      </c>
      <c r="L97" s="7">
        <f t="shared" si="3"/>
        <v>-31164</v>
      </c>
      <c r="M97" s="8">
        <f t="shared" si="6"/>
        <v>-0.16695668532192076</v>
      </c>
      <c r="N97" s="8">
        <f t="shared" si="4"/>
        <v>-0.32039972857935972</v>
      </c>
      <c r="O97" s="7">
        <v>6274</v>
      </c>
      <c r="Q97" s="3"/>
      <c r="R97" s="3"/>
      <c r="S97" s="6"/>
      <c r="T97" s="7"/>
      <c r="U97" s="7"/>
      <c r="V97" s="7"/>
      <c r="W97" s="7"/>
      <c r="X97" s="7"/>
      <c r="Y97" s="7"/>
      <c r="Z97" s="7"/>
      <c r="AA97" s="7"/>
      <c r="AB97" s="7"/>
      <c r="AC97" s="7"/>
      <c r="AD97" s="7"/>
      <c r="AE97" s="8"/>
      <c r="AF97" s="8"/>
      <c r="AG97" s="6"/>
    </row>
    <row r="98" spans="1:33" ht="19.7" customHeight="1" x14ac:dyDescent="0.25">
      <c r="A98" s="6">
        <f t="shared" si="8"/>
        <v>40523</v>
      </c>
      <c r="B98" s="7">
        <f t="shared" si="7"/>
        <v>155960</v>
      </c>
      <c r="C98" s="7">
        <v>64601</v>
      </c>
      <c r="D98" s="7">
        <v>839</v>
      </c>
      <c r="E98" s="7">
        <v>647</v>
      </c>
      <c r="F98" s="7">
        <v>29225</v>
      </c>
      <c r="G98" s="7">
        <v>16591</v>
      </c>
      <c r="H98" s="7">
        <v>16813</v>
      </c>
      <c r="I98" s="7">
        <v>7790</v>
      </c>
      <c r="J98" s="7">
        <v>19454</v>
      </c>
      <c r="K98" s="7">
        <f t="shared" si="5"/>
        <v>-29412</v>
      </c>
      <c r="L98" s="7">
        <f t="shared" si="3"/>
        <v>-28306</v>
      </c>
      <c r="M98" s="8">
        <f t="shared" si="6"/>
        <v>-0.15866473901128542</v>
      </c>
      <c r="N98" s="8">
        <f t="shared" si="4"/>
        <v>-0.30467026165950895</v>
      </c>
      <c r="O98" s="7">
        <v>5820</v>
      </c>
      <c r="Q98" s="3"/>
      <c r="R98" s="3"/>
      <c r="S98" s="6"/>
      <c r="T98" s="7"/>
      <c r="U98" s="7"/>
      <c r="V98" s="7"/>
      <c r="W98" s="7"/>
      <c r="X98" s="7"/>
      <c r="Y98" s="7"/>
      <c r="Z98" s="7"/>
      <c r="AA98" s="7"/>
      <c r="AB98" s="7"/>
      <c r="AC98" s="7"/>
      <c r="AD98" s="7"/>
      <c r="AE98" s="8"/>
      <c r="AF98" s="8"/>
      <c r="AG98" s="6"/>
    </row>
    <row r="99" spans="1:33" ht="19.7" customHeight="1" x14ac:dyDescent="0.25">
      <c r="A99" s="6">
        <f t="shared" si="8"/>
        <v>40530</v>
      </c>
      <c r="B99" s="7">
        <f t="shared" si="7"/>
        <v>150176</v>
      </c>
      <c r="C99" s="7">
        <v>63623</v>
      </c>
      <c r="D99" s="7">
        <v>815</v>
      </c>
      <c r="E99" s="7">
        <v>607</v>
      </c>
      <c r="F99" s="7">
        <v>26891</v>
      </c>
      <c r="G99" s="7">
        <v>13725</v>
      </c>
      <c r="H99" s="7">
        <v>15087</v>
      </c>
      <c r="I99" s="7">
        <v>7660</v>
      </c>
      <c r="J99" s="7">
        <v>21768</v>
      </c>
      <c r="K99" s="7">
        <f t="shared" si="5"/>
        <v>-37877</v>
      </c>
      <c r="L99" s="7">
        <f t="shared" si="3"/>
        <v>-30906</v>
      </c>
      <c r="M99" s="8">
        <f t="shared" si="6"/>
        <v>-0.20141662190978071</v>
      </c>
      <c r="N99" s="8">
        <f t="shared" si="4"/>
        <v>-0.32694728601804735</v>
      </c>
      <c r="O99" s="7">
        <v>5677</v>
      </c>
      <c r="Q99" s="3"/>
      <c r="R99" s="3"/>
      <c r="S99" s="6"/>
      <c r="T99" s="7"/>
      <c r="U99" s="7"/>
      <c r="V99" s="7"/>
      <c r="W99" s="7"/>
      <c r="X99" s="7"/>
      <c r="Y99" s="7"/>
      <c r="Z99" s="7"/>
      <c r="AA99" s="7"/>
      <c r="AB99" s="7"/>
      <c r="AC99" s="7"/>
      <c r="AD99" s="7"/>
      <c r="AE99" s="8"/>
      <c r="AF99" s="8"/>
      <c r="AG99" s="6"/>
    </row>
    <row r="100" spans="1:33" ht="19.7" customHeight="1" x14ac:dyDescent="0.25">
      <c r="A100" s="6">
        <f t="shared" si="8"/>
        <v>40537</v>
      </c>
      <c r="B100" s="7">
        <f t="shared" si="7"/>
        <v>141555</v>
      </c>
      <c r="C100" s="7">
        <v>61450</v>
      </c>
      <c r="D100" s="7">
        <v>795</v>
      </c>
      <c r="E100" s="7">
        <v>598</v>
      </c>
      <c r="F100" s="7">
        <v>25697</v>
      </c>
      <c r="G100" s="7">
        <v>12455</v>
      </c>
      <c r="H100" s="7">
        <v>14112</v>
      </c>
      <c r="I100" s="7">
        <v>6708</v>
      </c>
      <c r="J100" s="7">
        <v>19740</v>
      </c>
      <c r="K100" s="7">
        <f t="shared" si="5"/>
        <v>-43183</v>
      </c>
      <c r="L100" s="7">
        <f t="shared" si="3"/>
        <v>-29521</v>
      </c>
      <c r="M100" s="8">
        <f t="shared" si="6"/>
        <v>-0.23375266593770638</v>
      </c>
      <c r="N100" s="8">
        <f t="shared" si="4"/>
        <v>-0.32451000868408608</v>
      </c>
      <c r="O100" s="7">
        <v>4397</v>
      </c>
      <c r="Q100" s="3"/>
      <c r="R100" s="3"/>
      <c r="S100" s="6"/>
      <c r="T100" s="7"/>
      <c r="U100" s="7"/>
      <c r="V100" s="7"/>
      <c r="W100" s="7"/>
      <c r="X100" s="7"/>
      <c r="Y100" s="7"/>
      <c r="Z100" s="7"/>
      <c r="AA100" s="7"/>
      <c r="AB100" s="7"/>
      <c r="AC100" s="7"/>
      <c r="AD100" s="7"/>
      <c r="AE100" s="8"/>
      <c r="AF100" s="8"/>
      <c r="AG100" s="6"/>
    </row>
    <row r="101" spans="1:33" ht="19.7" customHeight="1" x14ac:dyDescent="0.25">
      <c r="A101" s="6">
        <f t="shared" si="8"/>
        <v>40544</v>
      </c>
      <c r="B101" s="7">
        <f t="shared" si="7"/>
        <v>150009</v>
      </c>
      <c r="C101" s="7">
        <v>63306</v>
      </c>
      <c r="D101" s="7">
        <v>790</v>
      </c>
      <c r="E101" s="7">
        <v>564</v>
      </c>
      <c r="F101" s="7">
        <v>26148</v>
      </c>
      <c r="G101" s="7">
        <v>14140</v>
      </c>
      <c r="H101" s="7">
        <v>15494</v>
      </c>
      <c r="I101" s="7">
        <v>8278</v>
      </c>
      <c r="J101" s="7">
        <v>21289</v>
      </c>
      <c r="K101" s="7">
        <f t="shared" si="5"/>
        <v>-38631</v>
      </c>
      <c r="L101" s="7">
        <f t="shared" si="3"/>
        <v>-29539</v>
      </c>
      <c r="M101" s="8">
        <f t="shared" si="6"/>
        <v>-0.20478689567430031</v>
      </c>
      <c r="N101" s="8">
        <f t="shared" si="4"/>
        <v>-0.31815391243470303</v>
      </c>
      <c r="O101" s="7">
        <v>4904</v>
      </c>
      <c r="Q101" s="3"/>
      <c r="R101" s="3"/>
      <c r="S101" s="6"/>
      <c r="T101" s="7"/>
      <c r="U101" s="7"/>
      <c r="V101" s="7"/>
      <c r="W101" s="7"/>
      <c r="X101" s="7"/>
      <c r="Y101" s="7"/>
      <c r="Z101" s="7"/>
      <c r="AA101" s="7"/>
      <c r="AB101" s="7"/>
      <c r="AC101" s="7"/>
      <c r="AD101" s="7"/>
      <c r="AE101" s="8"/>
      <c r="AF101" s="8"/>
      <c r="AG101" s="6"/>
    </row>
    <row r="102" spans="1:33" ht="19.7" customHeight="1" x14ac:dyDescent="0.25">
      <c r="A102" s="6">
        <f t="shared" si="8"/>
        <v>40551</v>
      </c>
      <c r="B102" s="7">
        <f t="shared" si="7"/>
        <v>153319</v>
      </c>
      <c r="C102" s="7">
        <v>64535</v>
      </c>
      <c r="D102" s="7">
        <v>827</v>
      </c>
      <c r="E102" s="7">
        <v>630</v>
      </c>
      <c r="F102" s="7">
        <v>28930</v>
      </c>
      <c r="G102" s="7">
        <v>14662</v>
      </c>
      <c r="H102" s="7">
        <v>16176</v>
      </c>
      <c r="I102" s="7">
        <v>9291</v>
      </c>
      <c r="J102" s="7">
        <v>18268</v>
      </c>
      <c r="K102" s="7">
        <f t="shared" si="5"/>
        <v>-40965</v>
      </c>
      <c r="L102" s="7">
        <f t="shared" si="3"/>
        <v>-30676</v>
      </c>
      <c r="M102" s="8">
        <f t="shared" si="6"/>
        <v>-0.21085112515698667</v>
      </c>
      <c r="N102" s="8">
        <f t="shared" si="4"/>
        <v>-0.32218966295911189</v>
      </c>
      <c r="O102" s="7">
        <v>8426</v>
      </c>
      <c r="Q102" s="3"/>
      <c r="R102" s="3"/>
      <c r="S102" s="6"/>
      <c r="T102" s="7"/>
      <c r="U102" s="7"/>
      <c r="V102" s="7"/>
      <c r="W102" s="7"/>
      <c r="X102" s="7"/>
      <c r="Y102" s="7"/>
      <c r="Z102" s="7"/>
      <c r="AA102" s="7"/>
      <c r="AB102" s="7"/>
      <c r="AC102" s="7"/>
      <c r="AD102" s="7"/>
      <c r="AE102" s="8"/>
      <c r="AF102" s="8"/>
      <c r="AG102" s="6"/>
    </row>
    <row r="103" spans="1:33" ht="19.7" customHeight="1" x14ac:dyDescent="0.25">
      <c r="A103" s="6">
        <f t="shared" si="8"/>
        <v>40558</v>
      </c>
      <c r="B103" s="7">
        <f t="shared" si="7"/>
        <v>152670</v>
      </c>
      <c r="C103" s="7">
        <v>65572</v>
      </c>
      <c r="D103" s="7">
        <v>872</v>
      </c>
      <c r="E103" s="7">
        <v>590</v>
      </c>
      <c r="F103" s="7">
        <v>28361</v>
      </c>
      <c r="G103" s="7">
        <v>14316</v>
      </c>
      <c r="H103" s="7">
        <v>15774</v>
      </c>
      <c r="I103" s="7">
        <v>9073</v>
      </c>
      <c r="J103" s="7">
        <v>18112</v>
      </c>
      <c r="K103" s="7">
        <f t="shared" si="5"/>
        <v>-41069</v>
      </c>
      <c r="L103" s="7">
        <f t="shared" si="3"/>
        <v>-28538</v>
      </c>
      <c r="M103" s="8">
        <f t="shared" si="6"/>
        <v>-0.21198106731220867</v>
      </c>
      <c r="N103" s="8">
        <f t="shared" si="4"/>
        <v>-0.30324088832217622</v>
      </c>
      <c r="O103" s="7">
        <v>7098</v>
      </c>
      <c r="Q103" s="3"/>
      <c r="R103" s="3"/>
      <c r="S103" s="6"/>
      <c r="T103" s="7"/>
      <c r="U103" s="7"/>
      <c r="V103" s="7"/>
      <c r="W103" s="7"/>
      <c r="X103" s="7"/>
      <c r="Y103" s="7"/>
      <c r="Z103" s="7"/>
      <c r="AA103" s="7"/>
      <c r="AB103" s="7"/>
      <c r="AC103" s="7"/>
      <c r="AD103" s="7"/>
      <c r="AE103" s="8"/>
      <c r="AF103" s="8"/>
      <c r="AG103" s="6"/>
    </row>
    <row r="104" spans="1:33" ht="19.7" customHeight="1" x14ac:dyDescent="0.25">
      <c r="A104" s="6">
        <f t="shared" si="8"/>
        <v>40565</v>
      </c>
      <c r="B104" s="7">
        <f t="shared" si="7"/>
        <v>151109</v>
      </c>
      <c r="C104" s="7">
        <v>65163</v>
      </c>
      <c r="D104" s="7">
        <v>934</v>
      </c>
      <c r="E104" s="7">
        <v>606</v>
      </c>
      <c r="F104" s="7">
        <v>27699</v>
      </c>
      <c r="G104" s="7">
        <v>14066</v>
      </c>
      <c r="H104" s="7">
        <v>15238</v>
      </c>
      <c r="I104" s="7">
        <v>9150</v>
      </c>
      <c r="J104" s="7">
        <v>18253</v>
      </c>
      <c r="K104" s="7">
        <f t="shared" si="5"/>
        <v>-41442</v>
      </c>
      <c r="L104" s="7">
        <f t="shared" si="3"/>
        <v>-27238</v>
      </c>
      <c r="M104" s="8">
        <f t="shared" si="6"/>
        <v>-0.21522609594341235</v>
      </c>
      <c r="N104" s="8">
        <f t="shared" si="4"/>
        <v>-0.29478035951991866</v>
      </c>
      <c r="O104" s="7">
        <v>6364</v>
      </c>
      <c r="Q104" s="3"/>
      <c r="R104" s="3"/>
      <c r="S104" s="6"/>
      <c r="T104" s="7"/>
      <c r="U104" s="7"/>
      <c r="V104" s="7"/>
      <c r="W104" s="7"/>
      <c r="X104" s="7"/>
      <c r="Y104" s="7"/>
      <c r="Z104" s="7"/>
      <c r="AA104" s="7"/>
      <c r="AB104" s="7"/>
      <c r="AC104" s="7"/>
      <c r="AD104" s="7"/>
      <c r="AE104" s="8"/>
      <c r="AF104" s="8"/>
      <c r="AG104" s="6"/>
    </row>
    <row r="105" spans="1:33" ht="19.7" customHeight="1" x14ac:dyDescent="0.25">
      <c r="A105" s="6">
        <f t="shared" si="8"/>
        <v>40572</v>
      </c>
      <c r="B105" s="7">
        <f t="shared" si="7"/>
        <v>151094</v>
      </c>
      <c r="C105" s="7">
        <v>65942</v>
      </c>
      <c r="D105" s="7">
        <v>917</v>
      </c>
      <c r="E105" s="7">
        <v>571</v>
      </c>
      <c r="F105" s="7">
        <v>27997</v>
      </c>
      <c r="G105" s="7">
        <v>14276</v>
      </c>
      <c r="H105" s="7">
        <v>14928</v>
      </c>
      <c r="I105" s="7">
        <v>9252</v>
      </c>
      <c r="J105" s="7">
        <v>17211</v>
      </c>
      <c r="K105" s="7">
        <f t="shared" si="5"/>
        <v>-45785</v>
      </c>
      <c r="L105" s="7">
        <f t="shared" si="3"/>
        <v>-28335</v>
      </c>
      <c r="M105" s="8">
        <f t="shared" si="6"/>
        <v>-0.2325540052519568</v>
      </c>
      <c r="N105" s="8">
        <f t="shared" si="4"/>
        <v>-0.30055050542550144</v>
      </c>
      <c r="O105" s="7">
        <v>6276</v>
      </c>
      <c r="Q105" s="3"/>
      <c r="R105" s="3"/>
      <c r="S105" s="6"/>
      <c r="T105" s="7"/>
      <c r="U105" s="7"/>
      <c r="V105" s="7"/>
      <c r="W105" s="7"/>
      <c r="X105" s="7"/>
      <c r="Y105" s="7"/>
      <c r="Z105" s="7"/>
      <c r="AA105" s="7"/>
      <c r="AB105" s="7"/>
      <c r="AC105" s="7"/>
      <c r="AD105" s="7"/>
      <c r="AE105" s="8"/>
      <c r="AF105" s="8"/>
      <c r="AG105" s="6"/>
    </row>
    <row r="106" spans="1:33" ht="19.7" customHeight="1" x14ac:dyDescent="0.25">
      <c r="A106" s="6">
        <f t="shared" si="8"/>
        <v>40579</v>
      </c>
      <c r="B106" s="7">
        <f t="shared" si="7"/>
        <v>149163</v>
      </c>
      <c r="C106" s="7">
        <v>64563</v>
      </c>
      <c r="D106" s="7">
        <v>892</v>
      </c>
      <c r="E106" s="7">
        <v>584</v>
      </c>
      <c r="F106" s="7">
        <v>28113</v>
      </c>
      <c r="G106" s="7">
        <v>14198</v>
      </c>
      <c r="H106" s="7">
        <v>14704</v>
      </c>
      <c r="I106" s="7">
        <v>9440</v>
      </c>
      <c r="J106" s="7">
        <v>16669</v>
      </c>
      <c r="K106" s="7">
        <f t="shared" si="5"/>
        <v>-46442</v>
      </c>
      <c r="L106" s="7">
        <f t="shared" si="3"/>
        <v>-27333</v>
      </c>
      <c r="M106" s="8">
        <f t="shared" si="6"/>
        <v>-0.23742746862299025</v>
      </c>
      <c r="N106" s="8">
        <f t="shared" si="4"/>
        <v>-0.29743405588926608</v>
      </c>
      <c r="O106" s="7">
        <v>5750</v>
      </c>
      <c r="Q106" s="3"/>
      <c r="R106" s="3"/>
      <c r="S106" s="6"/>
      <c r="T106" s="7"/>
      <c r="U106" s="7"/>
      <c r="V106" s="7"/>
      <c r="W106" s="7"/>
      <c r="X106" s="7"/>
      <c r="Y106" s="7"/>
      <c r="Z106" s="7"/>
      <c r="AA106" s="7"/>
      <c r="AB106" s="7"/>
      <c r="AC106" s="7"/>
      <c r="AD106" s="7"/>
      <c r="AE106" s="8"/>
      <c r="AF106" s="8"/>
      <c r="AG106" s="6"/>
    </row>
    <row r="107" spans="1:33" ht="19.7" customHeight="1" x14ac:dyDescent="0.25">
      <c r="A107" s="6">
        <f t="shared" si="8"/>
        <v>40586</v>
      </c>
      <c r="B107" s="7">
        <f t="shared" si="7"/>
        <v>147944</v>
      </c>
      <c r="C107" s="7">
        <v>64423</v>
      </c>
      <c r="D107" s="7">
        <v>837</v>
      </c>
      <c r="E107" s="7">
        <v>563</v>
      </c>
      <c r="F107" s="7">
        <v>28060</v>
      </c>
      <c r="G107" s="7">
        <v>14186</v>
      </c>
      <c r="H107" s="7">
        <v>14333</v>
      </c>
      <c r="I107" s="7">
        <v>8711</v>
      </c>
      <c r="J107" s="7">
        <v>16831</v>
      </c>
      <c r="K107" s="7">
        <f t="shared" si="5"/>
        <v>-46355</v>
      </c>
      <c r="L107" s="7">
        <f t="shared" si="3"/>
        <v>-26211</v>
      </c>
      <c r="M107" s="8">
        <f t="shared" si="6"/>
        <v>-0.23857559740400103</v>
      </c>
      <c r="N107" s="8">
        <f t="shared" si="4"/>
        <v>-0.28919610742105617</v>
      </c>
      <c r="O107" s="7">
        <v>5189</v>
      </c>
      <c r="Q107" s="3"/>
      <c r="R107" s="3"/>
      <c r="S107" s="6"/>
      <c r="T107" s="7"/>
      <c r="U107" s="7"/>
      <c r="V107" s="7"/>
      <c r="W107" s="7"/>
      <c r="X107" s="7"/>
      <c r="Y107" s="7"/>
      <c r="Z107" s="7"/>
      <c r="AA107" s="7"/>
      <c r="AB107" s="7"/>
      <c r="AC107" s="7"/>
      <c r="AD107" s="7"/>
      <c r="AE107" s="8"/>
      <c r="AF107" s="8"/>
      <c r="AG107" s="6"/>
    </row>
    <row r="108" spans="1:33" ht="19.7" customHeight="1" x14ac:dyDescent="0.25">
      <c r="A108" s="6">
        <f t="shared" si="8"/>
        <v>40593</v>
      </c>
      <c r="B108" s="7">
        <f t="shared" si="7"/>
        <v>147415</v>
      </c>
      <c r="C108" s="7">
        <v>63852</v>
      </c>
      <c r="D108" s="7">
        <v>848</v>
      </c>
      <c r="E108" s="7">
        <v>587</v>
      </c>
      <c r="F108" s="7">
        <v>28151</v>
      </c>
      <c r="G108" s="7">
        <v>14243</v>
      </c>
      <c r="H108" s="7">
        <v>14182</v>
      </c>
      <c r="I108" s="7">
        <v>8459</v>
      </c>
      <c r="J108" s="7">
        <v>17093</v>
      </c>
      <c r="K108" s="7">
        <f t="shared" si="5"/>
        <v>-44026</v>
      </c>
      <c r="L108" s="7">
        <f t="shared" si="3"/>
        <v>-23664</v>
      </c>
      <c r="M108" s="8">
        <f t="shared" si="6"/>
        <v>-0.22997163616989047</v>
      </c>
      <c r="N108" s="8">
        <f t="shared" si="4"/>
        <v>-0.27039627039627034</v>
      </c>
      <c r="O108" s="7">
        <v>4982</v>
      </c>
      <c r="Q108" s="3"/>
      <c r="R108" s="3"/>
      <c r="S108" s="6"/>
      <c r="T108" s="7"/>
      <c r="U108" s="7"/>
      <c r="V108" s="7"/>
      <c r="W108" s="7"/>
      <c r="X108" s="7"/>
      <c r="Y108" s="7"/>
      <c r="Z108" s="7"/>
      <c r="AA108" s="7"/>
      <c r="AB108" s="7"/>
      <c r="AC108" s="7"/>
      <c r="AD108" s="7"/>
      <c r="AE108" s="8"/>
      <c r="AF108" s="8"/>
      <c r="AG108" s="6"/>
    </row>
    <row r="109" spans="1:33" ht="19.7" customHeight="1" x14ac:dyDescent="0.25">
      <c r="A109" s="6">
        <f t="shared" si="8"/>
        <v>40600</v>
      </c>
      <c r="B109" s="7">
        <f t="shared" si="7"/>
        <v>143916</v>
      </c>
      <c r="C109" s="7">
        <v>61591</v>
      </c>
      <c r="D109" s="7">
        <v>806</v>
      </c>
      <c r="E109" s="7">
        <v>531</v>
      </c>
      <c r="F109" s="7">
        <v>27804</v>
      </c>
      <c r="G109" s="7">
        <v>14271</v>
      </c>
      <c r="H109" s="7">
        <v>13833</v>
      </c>
      <c r="I109" s="7">
        <v>8292</v>
      </c>
      <c r="J109" s="7">
        <v>16788</v>
      </c>
      <c r="K109" s="7">
        <f t="shared" si="5"/>
        <v>-49924</v>
      </c>
      <c r="L109" s="7">
        <f t="shared" si="3"/>
        <v>-26891</v>
      </c>
      <c r="M109" s="8">
        <f t="shared" si="6"/>
        <v>-0.25755262071811802</v>
      </c>
      <c r="N109" s="8">
        <f t="shared" si="4"/>
        <v>-0.3039149205488122</v>
      </c>
      <c r="O109" s="7">
        <v>4614</v>
      </c>
      <c r="Q109" s="3"/>
      <c r="R109" s="3"/>
      <c r="S109" s="6"/>
      <c r="T109" s="7"/>
      <c r="U109" s="7"/>
      <c r="V109" s="7"/>
      <c r="W109" s="7"/>
      <c r="X109" s="7"/>
      <c r="Y109" s="7"/>
      <c r="Z109" s="7"/>
      <c r="AA109" s="7"/>
      <c r="AB109" s="7"/>
      <c r="AC109" s="7"/>
      <c r="AD109" s="7"/>
      <c r="AE109" s="8"/>
      <c r="AF109" s="8"/>
      <c r="AG109" s="6"/>
    </row>
    <row r="110" spans="1:33" ht="19.7" customHeight="1" x14ac:dyDescent="0.25">
      <c r="A110" s="6">
        <f t="shared" si="8"/>
        <v>40607</v>
      </c>
      <c r="B110" s="7">
        <f t="shared" si="7"/>
        <v>144797</v>
      </c>
      <c r="C110" s="7">
        <v>62065</v>
      </c>
      <c r="D110" s="7">
        <v>868</v>
      </c>
      <c r="E110" s="7">
        <v>543</v>
      </c>
      <c r="F110" s="7">
        <v>28143</v>
      </c>
      <c r="G110" s="7">
        <v>14406</v>
      </c>
      <c r="H110" s="7">
        <v>13615</v>
      </c>
      <c r="I110" s="7">
        <v>8237</v>
      </c>
      <c r="J110" s="7">
        <v>16920</v>
      </c>
      <c r="K110" s="7">
        <f t="shared" si="5"/>
        <v>-47127</v>
      </c>
      <c r="L110" s="7">
        <f t="shared" si="3"/>
        <v>-23776</v>
      </c>
      <c r="M110" s="8">
        <f t="shared" si="6"/>
        <v>-0.2455503220024593</v>
      </c>
      <c r="N110" s="8">
        <f t="shared" si="4"/>
        <v>-0.27697720203632292</v>
      </c>
      <c r="O110" s="7">
        <v>5417</v>
      </c>
      <c r="Q110" s="3"/>
      <c r="R110" s="3"/>
      <c r="S110" s="6"/>
      <c r="T110" s="7"/>
      <c r="U110" s="7"/>
      <c r="V110" s="7"/>
      <c r="W110" s="7"/>
      <c r="X110" s="7"/>
      <c r="Y110" s="7"/>
      <c r="Z110" s="7"/>
      <c r="AA110" s="7"/>
      <c r="AB110" s="7"/>
      <c r="AC110" s="7"/>
      <c r="AD110" s="7"/>
      <c r="AE110" s="8"/>
      <c r="AF110" s="8"/>
      <c r="AG110" s="6"/>
    </row>
    <row r="111" spans="1:33" ht="19.7" customHeight="1" x14ac:dyDescent="0.25">
      <c r="A111" s="6">
        <f t="shared" si="8"/>
        <v>40614</v>
      </c>
      <c r="B111" s="7">
        <f t="shared" si="7"/>
        <v>142925</v>
      </c>
      <c r="C111" s="7">
        <v>61107</v>
      </c>
      <c r="D111" s="7">
        <v>768</v>
      </c>
      <c r="E111" s="7">
        <v>526</v>
      </c>
      <c r="F111" s="7">
        <v>27962</v>
      </c>
      <c r="G111" s="7">
        <v>14249</v>
      </c>
      <c r="H111" s="7">
        <v>13874</v>
      </c>
      <c r="I111" s="7">
        <v>7759</v>
      </c>
      <c r="J111" s="7">
        <v>16680</v>
      </c>
      <c r="K111" s="7">
        <f t="shared" si="5"/>
        <v>-48349</v>
      </c>
      <c r="L111" s="7">
        <f t="shared" si="3"/>
        <v>-23843</v>
      </c>
      <c r="M111" s="8">
        <f t="shared" si="6"/>
        <v>-0.25277350816106736</v>
      </c>
      <c r="N111" s="8">
        <f t="shared" si="4"/>
        <v>-0.28067098293113601</v>
      </c>
      <c r="O111" s="7">
        <v>5184</v>
      </c>
      <c r="Q111" s="3"/>
      <c r="R111" s="3"/>
      <c r="S111" s="6"/>
      <c r="T111" s="7"/>
      <c r="U111" s="7"/>
      <c r="V111" s="7"/>
      <c r="W111" s="7"/>
      <c r="X111" s="7"/>
      <c r="Y111" s="7"/>
      <c r="Z111" s="7"/>
      <c r="AA111" s="7"/>
      <c r="AB111" s="7"/>
      <c r="AC111" s="7"/>
      <c r="AD111" s="7"/>
      <c r="AE111" s="8"/>
      <c r="AF111" s="8"/>
      <c r="AG111" s="6"/>
    </row>
    <row r="112" spans="1:33" ht="19.7" customHeight="1" x14ac:dyDescent="0.25">
      <c r="A112" s="6">
        <f t="shared" si="8"/>
        <v>40621</v>
      </c>
      <c r="B112" s="7">
        <f t="shared" si="7"/>
        <v>142353</v>
      </c>
      <c r="C112" s="7">
        <v>60618</v>
      </c>
      <c r="D112" s="7">
        <v>763</v>
      </c>
      <c r="E112" s="7">
        <v>515</v>
      </c>
      <c r="F112" s="7">
        <v>27934</v>
      </c>
      <c r="G112" s="7">
        <v>14535</v>
      </c>
      <c r="H112" s="7">
        <v>13807</v>
      </c>
      <c r="I112" s="7">
        <v>7487</v>
      </c>
      <c r="J112" s="7">
        <v>16694</v>
      </c>
      <c r="K112" s="7">
        <f t="shared" si="5"/>
        <v>-49060</v>
      </c>
      <c r="L112" s="7">
        <f t="shared" si="3"/>
        <v>-23474</v>
      </c>
      <c r="M112" s="8">
        <f t="shared" si="6"/>
        <v>-0.2563044307335447</v>
      </c>
      <c r="N112" s="8">
        <f t="shared" si="4"/>
        <v>-0.27914664890833851</v>
      </c>
      <c r="O112" s="7">
        <v>5040</v>
      </c>
      <c r="Q112" s="3"/>
      <c r="R112" s="3"/>
      <c r="S112" s="6"/>
      <c r="T112" s="7"/>
      <c r="U112" s="7"/>
      <c r="V112" s="7"/>
      <c r="W112" s="7"/>
      <c r="X112" s="7"/>
      <c r="Y112" s="7"/>
      <c r="Z112" s="7"/>
      <c r="AA112" s="7"/>
      <c r="AB112" s="7"/>
      <c r="AC112" s="7"/>
      <c r="AD112" s="7"/>
      <c r="AE112" s="8"/>
      <c r="AF112" s="8"/>
      <c r="AG112" s="6"/>
    </row>
    <row r="113" spans="1:33" ht="19.7" customHeight="1" x14ac:dyDescent="0.25">
      <c r="A113" s="6">
        <f t="shared" si="8"/>
        <v>40628</v>
      </c>
      <c r="B113" s="7">
        <f t="shared" si="7"/>
        <v>141815</v>
      </c>
      <c r="C113" s="7">
        <v>60539</v>
      </c>
      <c r="D113" s="7">
        <v>737</v>
      </c>
      <c r="E113" s="7">
        <v>515</v>
      </c>
      <c r="F113" s="7">
        <v>27778</v>
      </c>
      <c r="G113" s="7">
        <v>14738</v>
      </c>
      <c r="H113" s="7">
        <v>13035</v>
      </c>
      <c r="I113" s="7">
        <v>7986</v>
      </c>
      <c r="J113" s="7">
        <v>16487</v>
      </c>
      <c r="K113" s="7">
        <f t="shared" si="5"/>
        <v>-48764</v>
      </c>
      <c r="L113" s="7">
        <f t="shared" si="3"/>
        <v>-22317</v>
      </c>
      <c r="M113" s="8">
        <f t="shared" si="6"/>
        <v>-0.25587289260621582</v>
      </c>
      <c r="N113" s="8">
        <f t="shared" si="4"/>
        <v>-0.26934681857680798</v>
      </c>
      <c r="O113" s="7">
        <v>5012</v>
      </c>
      <c r="Q113" s="3"/>
      <c r="R113" s="3"/>
      <c r="S113" s="6"/>
      <c r="T113" s="7"/>
      <c r="U113" s="7"/>
      <c r="V113" s="7"/>
      <c r="W113" s="7"/>
      <c r="X113" s="7"/>
      <c r="Y113" s="7"/>
      <c r="Z113" s="7"/>
      <c r="AA113" s="7"/>
      <c r="AB113" s="7"/>
      <c r="AC113" s="7"/>
      <c r="AD113" s="7"/>
      <c r="AE113" s="8"/>
      <c r="AF113" s="8"/>
      <c r="AG113" s="6"/>
    </row>
    <row r="114" spans="1:33" ht="19.7" customHeight="1" x14ac:dyDescent="0.25">
      <c r="A114" s="6">
        <f t="shared" si="8"/>
        <v>40635</v>
      </c>
      <c r="B114" s="7">
        <f t="shared" si="7"/>
        <v>140533</v>
      </c>
      <c r="C114" s="7">
        <v>59737</v>
      </c>
      <c r="D114" s="7">
        <v>748</v>
      </c>
      <c r="E114" s="7">
        <v>503</v>
      </c>
      <c r="F114" s="7">
        <v>27768</v>
      </c>
      <c r="G114" s="7">
        <v>13923</v>
      </c>
      <c r="H114" s="7">
        <v>13452</v>
      </c>
      <c r="I114" s="7">
        <v>7893</v>
      </c>
      <c r="J114" s="7">
        <v>16509</v>
      </c>
      <c r="K114" s="7">
        <f t="shared" si="5"/>
        <v>-48880</v>
      </c>
      <c r="L114" s="7">
        <f t="shared" si="3"/>
        <v>-21905</v>
      </c>
      <c r="M114" s="8">
        <f t="shared" si="6"/>
        <v>-0.25806042879844571</v>
      </c>
      <c r="N114" s="8">
        <f t="shared" si="4"/>
        <v>-0.26830552901692761</v>
      </c>
      <c r="O114" s="7">
        <v>5555</v>
      </c>
      <c r="Q114" s="3"/>
      <c r="R114" s="3"/>
      <c r="S114" s="6"/>
      <c r="T114" s="7"/>
      <c r="U114" s="7"/>
      <c r="V114" s="7"/>
      <c r="W114" s="7"/>
      <c r="X114" s="7"/>
      <c r="Y114" s="7"/>
      <c r="Z114" s="7"/>
      <c r="AA114" s="7"/>
      <c r="AB114" s="7"/>
      <c r="AC114" s="7"/>
      <c r="AD114" s="7"/>
      <c r="AE114" s="8"/>
      <c r="AF114" s="8"/>
      <c r="AG114" s="6"/>
    </row>
    <row r="115" spans="1:33" ht="19.7" customHeight="1" x14ac:dyDescent="0.25">
      <c r="A115" s="6">
        <f t="shared" si="8"/>
        <v>40642</v>
      </c>
      <c r="B115" s="7">
        <f t="shared" si="7"/>
        <v>138382</v>
      </c>
      <c r="C115" s="7">
        <v>59218</v>
      </c>
      <c r="D115" s="7">
        <v>661</v>
      </c>
      <c r="E115" s="7">
        <v>498</v>
      </c>
      <c r="F115" s="7">
        <v>27285</v>
      </c>
      <c r="G115" s="7">
        <v>13551</v>
      </c>
      <c r="H115" s="7">
        <v>13218</v>
      </c>
      <c r="I115" s="7">
        <v>7763</v>
      </c>
      <c r="J115" s="7">
        <v>16188</v>
      </c>
      <c r="K115" s="7">
        <f t="shared" si="5"/>
        <v>-47097</v>
      </c>
      <c r="L115" s="7">
        <f t="shared" si="3"/>
        <v>-21958</v>
      </c>
      <c r="M115" s="8">
        <f t="shared" si="6"/>
        <v>-0.25392092905396302</v>
      </c>
      <c r="N115" s="8">
        <f t="shared" si="4"/>
        <v>-0.27049866955750468</v>
      </c>
      <c r="O115" s="7">
        <v>8917</v>
      </c>
      <c r="Q115" s="3"/>
      <c r="R115" s="3"/>
      <c r="S115" s="6"/>
      <c r="T115" s="7"/>
      <c r="U115" s="7"/>
      <c r="V115" s="7"/>
      <c r="W115" s="7"/>
      <c r="X115" s="7"/>
      <c r="Y115" s="7"/>
      <c r="Z115" s="7"/>
      <c r="AA115" s="7"/>
      <c r="AB115" s="7"/>
      <c r="AC115" s="7"/>
      <c r="AD115" s="7"/>
      <c r="AE115" s="8"/>
      <c r="AF115" s="8"/>
      <c r="AG115" s="6"/>
    </row>
    <row r="116" spans="1:33" ht="19.7" customHeight="1" x14ac:dyDescent="0.25">
      <c r="A116" s="6">
        <f t="shared" si="8"/>
        <v>40649</v>
      </c>
      <c r="B116" s="7">
        <f t="shared" si="7"/>
        <v>140576</v>
      </c>
      <c r="C116" s="7">
        <v>61797</v>
      </c>
      <c r="D116" s="7">
        <v>645</v>
      </c>
      <c r="E116" s="7">
        <v>500</v>
      </c>
      <c r="F116" s="7">
        <v>27395</v>
      </c>
      <c r="G116" s="7">
        <v>13446</v>
      </c>
      <c r="H116" s="7">
        <v>12937</v>
      </c>
      <c r="I116" s="7">
        <v>7700</v>
      </c>
      <c r="J116" s="7">
        <v>16156</v>
      </c>
      <c r="K116" s="7">
        <f t="shared" si="5"/>
        <v>-46329</v>
      </c>
      <c r="L116" s="7">
        <f t="shared" si="3"/>
        <v>-20420</v>
      </c>
      <c r="M116" s="8">
        <f t="shared" si="6"/>
        <v>-0.24787458869479151</v>
      </c>
      <c r="N116" s="8">
        <f t="shared" si="4"/>
        <v>-0.2483671260201662</v>
      </c>
      <c r="O116" s="7">
        <v>7482</v>
      </c>
      <c r="Q116" s="3"/>
      <c r="R116" s="3"/>
      <c r="S116" s="6"/>
      <c r="T116" s="7"/>
      <c r="U116" s="7"/>
      <c r="V116" s="7"/>
      <c r="W116" s="7"/>
      <c r="X116" s="7"/>
      <c r="Y116" s="7"/>
      <c r="Z116" s="7"/>
      <c r="AA116" s="7"/>
      <c r="AB116" s="7"/>
      <c r="AC116" s="7"/>
      <c r="AD116" s="7"/>
      <c r="AE116" s="8"/>
      <c r="AF116" s="8"/>
      <c r="AG116" s="6"/>
    </row>
    <row r="117" spans="1:33" ht="19.7" customHeight="1" x14ac:dyDescent="0.25">
      <c r="A117" s="6">
        <f t="shared" si="8"/>
        <v>40656</v>
      </c>
      <c r="B117" s="7">
        <f t="shared" si="7"/>
        <v>142271</v>
      </c>
      <c r="C117" s="7">
        <v>63837</v>
      </c>
      <c r="D117" s="7">
        <v>537</v>
      </c>
      <c r="E117" s="7">
        <v>484</v>
      </c>
      <c r="F117" s="7">
        <v>27550</v>
      </c>
      <c r="G117" s="7">
        <v>13422</v>
      </c>
      <c r="H117" s="7">
        <v>13111</v>
      </c>
      <c r="I117" s="7">
        <v>7684</v>
      </c>
      <c r="J117" s="7">
        <v>15646</v>
      </c>
      <c r="K117" s="7">
        <f t="shared" si="5"/>
        <v>-46703</v>
      </c>
      <c r="L117" s="7">
        <f t="shared" si="3"/>
        <v>-20300</v>
      </c>
      <c r="M117" s="8">
        <f t="shared" si="6"/>
        <v>-0.24713981817604536</v>
      </c>
      <c r="N117" s="8">
        <f t="shared" si="4"/>
        <v>-0.2412731616292475</v>
      </c>
      <c r="O117" s="7">
        <v>6344</v>
      </c>
      <c r="Q117" s="3"/>
      <c r="R117" s="3"/>
      <c r="S117" s="6"/>
      <c r="T117" s="7"/>
      <c r="U117" s="7"/>
      <c r="V117" s="7"/>
      <c r="W117" s="7"/>
      <c r="X117" s="7"/>
      <c r="Y117" s="7"/>
      <c r="Z117" s="7"/>
      <c r="AA117" s="7"/>
      <c r="AB117" s="7"/>
      <c r="AC117" s="7"/>
      <c r="AD117" s="7"/>
      <c r="AE117" s="8"/>
      <c r="AF117" s="8"/>
      <c r="AG117" s="6"/>
    </row>
    <row r="118" spans="1:33" ht="19.7" customHeight="1" x14ac:dyDescent="0.25">
      <c r="A118" s="6">
        <f t="shared" si="8"/>
        <v>40663</v>
      </c>
      <c r="B118" s="7">
        <f t="shared" si="7"/>
        <v>143783</v>
      </c>
      <c r="C118" s="7">
        <v>64995</v>
      </c>
      <c r="D118" s="7">
        <v>495</v>
      </c>
      <c r="E118" s="7">
        <v>512</v>
      </c>
      <c r="F118" s="7">
        <v>27858</v>
      </c>
      <c r="G118" s="7">
        <v>13267</v>
      </c>
      <c r="H118" s="7">
        <v>13092</v>
      </c>
      <c r="I118" s="7">
        <v>7736</v>
      </c>
      <c r="J118" s="7">
        <v>15828</v>
      </c>
      <c r="K118" s="7">
        <f t="shared" si="5"/>
        <v>-46183</v>
      </c>
      <c r="L118" s="7">
        <f t="shared" si="3"/>
        <v>-19450</v>
      </c>
      <c r="M118" s="8">
        <f t="shared" si="6"/>
        <v>-0.24311192529189429</v>
      </c>
      <c r="N118" s="8">
        <f t="shared" si="4"/>
        <v>-0.23032743205636808</v>
      </c>
      <c r="O118" s="7">
        <v>5922</v>
      </c>
      <c r="Q118" s="3"/>
      <c r="R118" s="3"/>
      <c r="S118" s="6"/>
      <c r="T118" s="7"/>
      <c r="U118" s="7"/>
      <c r="V118" s="7"/>
      <c r="W118" s="7"/>
      <c r="X118" s="7"/>
      <c r="Y118" s="7"/>
      <c r="Z118" s="7"/>
      <c r="AA118" s="7"/>
      <c r="AB118" s="7"/>
      <c r="AC118" s="7"/>
      <c r="AD118" s="7"/>
      <c r="AE118" s="8"/>
      <c r="AF118" s="8"/>
      <c r="AG118" s="6"/>
    </row>
    <row r="119" spans="1:33" ht="19.7" customHeight="1" x14ac:dyDescent="0.25">
      <c r="A119" s="6">
        <f t="shared" si="8"/>
        <v>40670</v>
      </c>
      <c r="B119" s="7">
        <f t="shared" si="7"/>
        <v>142852</v>
      </c>
      <c r="C119" s="7">
        <v>65021</v>
      </c>
      <c r="D119" s="7">
        <v>423</v>
      </c>
      <c r="E119" s="7">
        <v>516</v>
      </c>
      <c r="F119" s="7">
        <v>27539</v>
      </c>
      <c r="G119" s="7">
        <v>13282</v>
      </c>
      <c r="H119" s="7">
        <v>12856</v>
      </c>
      <c r="I119" s="7">
        <v>7875</v>
      </c>
      <c r="J119" s="7">
        <v>15340</v>
      </c>
      <c r="K119" s="7">
        <f t="shared" si="5"/>
        <v>-44689</v>
      </c>
      <c r="L119" s="7">
        <f t="shared" si="3"/>
        <v>-18528</v>
      </c>
      <c r="M119" s="8">
        <f t="shared" si="6"/>
        <v>-0.23828922742227032</v>
      </c>
      <c r="N119" s="8">
        <f t="shared" si="4"/>
        <v>-0.22176207973763895</v>
      </c>
      <c r="O119" s="7">
        <v>5742</v>
      </c>
      <c r="Q119" s="3"/>
      <c r="R119" s="3"/>
      <c r="S119" s="6"/>
      <c r="T119" s="7"/>
      <c r="U119" s="7"/>
      <c r="V119" s="7"/>
      <c r="W119" s="7"/>
      <c r="X119" s="7"/>
      <c r="Y119" s="7"/>
      <c r="Z119" s="7"/>
      <c r="AA119" s="7"/>
      <c r="AB119" s="7"/>
      <c r="AC119" s="7"/>
      <c r="AD119" s="7"/>
      <c r="AE119" s="8"/>
      <c r="AF119" s="8"/>
      <c r="AG119" s="6"/>
    </row>
    <row r="120" spans="1:33" ht="19.7" customHeight="1" x14ac:dyDescent="0.25">
      <c r="A120" s="6">
        <f t="shared" si="8"/>
        <v>40677</v>
      </c>
      <c r="B120" s="7">
        <f t="shared" si="7"/>
        <v>141696</v>
      </c>
      <c r="C120" s="7">
        <v>64949</v>
      </c>
      <c r="D120" s="7">
        <v>423</v>
      </c>
      <c r="E120" s="7">
        <v>516</v>
      </c>
      <c r="F120" s="7">
        <v>27401</v>
      </c>
      <c r="G120" s="7">
        <v>13056</v>
      </c>
      <c r="H120" s="7">
        <v>12715</v>
      </c>
      <c r="I120" s="7">
        <v>7369</v>
      </c>
      <c r="J120" s="7">
        <v>15267</v>
      </c>
      <c r="K120" s="7">
        <f t="shared" si="5"/>
        <v>-45448</v>
      </c>
      <c r="L120" s="7">
        <f t="shared" ref="L120:L178" si="9">C120-C68</f>
        <v>-17351</v>
      </c>
      <c r="M120" s="8">
        <f t="shared" si="6"/>
        <v>-0.24285042534091394</v>
      </c>
      <c r="N120" s="8">
        <f t="shared" ref="N120:N183" si="10">IF(L120="","",C120/C68-1)</f>
        <v>-0.21082624544349937</v>
      </c>
      <c r="O120" s="7">
        <v>5586</v>
      </c>
      <c r="Q120" s="3"/>
      <c r="R120" s="3"/>
      <c r="S120" s="6"/>
      <c r="T120" s="7"/>
      <c r="U120" s="7"/>
      <c r="V120" s="7"/>
      <c r="W120" s="7"/>
      <c r="X120" s="7"/>
      <c r="Y120" s="7"/>
      <c r="Z120" s="7"/>
      <c r="AA120" s="7"/>
      <c r="AB120" s="7"/>
      <c r="AC120" s="7"/>
      <c r="AD120" s="7"/>
      <c r="AE120" s="8"/>
      <c r="AF120" s="8"/>
      <c r="AG120" s="6"/>
    </row>
    <row r="121" spans="1:33" ht="19.7" customHeight="1" x14ac:dyDescent="0.25">
      <c r="A121" s="6">
        <f t="shared" si="8"/>
        <v>40684</v>
      </c>
      <c r="B121" s="7">
        <f t="shared" si="7"/>
        <v>141552</v>
      </c>
      <c r="C121" s="7">
        <v>65005</v>
      </c>
      <c r="D121" s="7">
        <v>353</v>
      </c>
      <c r="E121" s="7">
        <v>528</v>
      </c>
      <c r="F121" s="7">
        <v>27376</v>
      </c>
      <c r="G121" s="7">
        <v>12967</v>
      </c>
      <c r="H121" s="7">
        <v>12676</v>
      </c>
      <c r="I121" s="7">
        <v>7259</v>
      </c>
      <c r="J121" s="7">
        <v>15388</v>
      </c>
      <c r="K121" s="7">
        <f t="shared" ref="K121:K178" si="11">B121-B69</f>
        <v>-44680</v>
      </c>
      <c r="L121" s="7">
        <f t="shared" si="9"/>
        <v>-16405</v>
      </c>
      <c r="M121" s="8">
        <f t="shared" ref="M121:M184" si="12">IF(K121="","",B121/B69-1)</f>
        <v>-0.23991580394346834</v>
      </c>
      <c r="N121" s="8">
        <f t="shared" si="10"/>
        <v>-0.20151087090038078</v>
      </c>
      <c r="O121" s="7">
        <v>6026</v>
      </c>
      <c r="Q121" s="3"/>
      <c r="R121" s="3"/>
      <c r="S121" s="6"/>
      <c r="T121" s="7"/>
      <c r="U121" s="7"/>
      <c r="V121" s="7"/>
      <c r="W121" s="7"/>
      <c r="X121" s="7"/>
      <c r="Y121" s="7"/>
      <c r="Z121" s="7"/>
      <c r="AA121" s="7"/>
      <c r="AB121" s="7"/>
      <c r="AC121" s="7"/>
      <c r="AD121" s="7"/>
      <c r="AE121" s="8"/>
      <c r="AF121" s="8"/>
      <c r="AG121" s="6"/>
    </row>
    <row r="122" spans="1:33" ht="19.7" customHeight="1" x14ac:dyDescent="0.25">
      <c r="A122" s="6">
        <f t="shared" si="8"/>
        <v>40691</v>
      </c>
      <c r="B122" s="7">
        <f t="shared" si="7"/>
        <v>141044</v>
      </c>
      <c r="C122" s="7">
        <v>64937</v>
      </c>
      <c r="D122" s="7">
        <v>361</v>
      </c>
      <c r="E122" s="7">
        <v>535</v>
      </c>
      <c r="F122" s="7">
        <v>27199</v>
      </c>
      <c r="G122" s="7">
        <v>12923</v>
      </c>
      <c r="H122" s="7">
        <v>12739</v>
      </c>
      <c r="I122" s="7">
        <v>6893</v>
      </c>
      <c r="J122" s="7">
        <v>15457</v>
      </c>
      <c r="K122" s="7">
        <f t="shared" si="11"/>
        <v>-44257</v>
      </c>
      <c r="L122" s="7">
        <f t="shared" si="9"/>
        <v>-15411</v>
      </c>
      <c r="M122" s="8">
        <f t="shared" si="12"/>
        <v>-0.23883843044559927</v>
      </c>
      <c r="N122" s="8">
        <f t="shared" si="10"/>
        <v>-0.19180315627022448</v>
      </c>
      <c r="O122" s="7">
        <v>6853</v>
      </c>
      <c r="Q122" s="3"/>
      <c r="R122" s="3"/>
      <c r="S122" s="6"/>
      <c r="T122" s="7"/>
      <c r="U122" s="7"/>
      <c r="V122" s="7"/>
      <c r="W122" s="7"/>
      <c r="X122" s="7"/>
      <c r="Y122" s="7"/>
      <c r="Z122" s="7"/>
      <c r="AA122" s="7"/>
      <c r="AB122" s="7"/>
      <c r="AC122" s="7"/>
      <c r="AD122" s="7"/>
      <c r="AE122" s="8"/>
      <c r="AF122" s="8"/>
      <c r="AG122" s="6"/>
    </row>
    <row r="123" spans="1:33" ht="19.7" customHeight="1" x14ac:dyDescent="0.25">
      <c r="A123" s="6">
        <f t="shared" si="8"/>
        <v>40698</v>
      </c>
      <c r="B123" s="7">
        <f t="shared" si="7"/>
        <v>140069</v>
      </c>
      <c r="C123" s="7">
        <v>65173</v>
      </c>
      <c r="D123" s="7">
        <v>503</v>
      </c>
      <c r="E123" s="7">
        <v>523</v>
      </c>
      <c r="F123" s="7">
        <v>26787</v>
      </c>
      <c r="G123" s="7">
        <v>12969</v>
      </c>
      <c r="H123" s="7">
        <v>12666</v>
      </c>
      <c r="I123" s="7">
        <v>6629</v>
      </c>
      <c r="J123" s="7">
        <v>14819</v>
      </c>
      <c r="K123" s="7">
        <f t="shared" si="11"/>
        <v>-43557</v>
      </c>
      <c r="L123" s="7">
        <f t="shared" si="9"/>
        <v>-14642</v>
      </c>
      <c r="M123" s="8">
        <f t="shared" si="12"/>
        <v>-0.23720497097360937</v>
      </c>
      <c r="N123" s="8">
        <f t="shared" si="10"/>
        <v>-0.18344922633590177</v>
      </c>
      <c r="O123" s="7">
        <v>6611</v>
      </c>
      <c r="Q123" s="3"/>
      <c r="R123" s="3"/>
      <c r="S123" s="6"/>
      <c r="T123" s="7"/>
      <c r="U123" s="7"/>
      <c r="V123" s="7"/>
      <c r="W123" s="7"/>
      <c r="X123" s="7"/>
      <c r="Y123" s="7"/>
      <c r="Z123" s="7"/>
      <c r="AA123" s="7"/>
      <c r="AB123" s="7"/>
      <c r="AC123" s="7"/>
      <c r="AD123" s="7"/>
      <c r="AE123" s="8"/>
      <c r="AF123" s="8"/>
      <c r="AG123" s="6"/>
    </row>
    <row r="124" spans="1:33" ht="19.7" customHeight="1" x14ac:dyDescent="0.25">
      <c r="A124" s="6">
        <f t="shared" si="8"/>
        <v>40705</v>
      </c>
      <c r="B124" s="7">
        <f t="shared" si="7"/>
        <v>141876</v>
      </c>
      <c r="C124" s="7">
        <v>67181</v>
      </c>
      <c r="D124" s="7">
        <v>583</v>
      </c>
      <c r="E124" s="7">
        <v>536</v>
      </c>
      <c r="F124" s="7">
        <v>26642</v>
      </c>
      <c r="G124" s="7">
        <v>13114</v>
      </c>
      <c r="H124" s="7">
        <v>12640</v>
      </c>
      <c r="I124" s="7">
        <v>6582</v>
      </c>
      <c r="J124" s="7">
        <v>14598</v>
      </c>
      <c r="K124" s="7">
        <f t="shared" si="11"/>
        <v>-46250</v>
      </c>
      <c r="L124" s="7">
        <f t="shared" si="9"/>
        <v>-15462</v>
      </c>
      <c r="M124" s="8">
        <f t="shared" si="12"/>
        <v>-0.2458458692578378</v>
      </c>
      <c r="N124" s="8">
        <f t="shared" si="10"/>
        <v>-0.18709388574954922</v>
      </c>
      <c r="O124" s="7">
        <v>6740</v>
      </c>
      <c r="Q124" s="3"/>
      <c r="R124" s="3"/>
      <c r="S124" s="6"/>
      <c r="T124" s="7"/>
      <c r="U124" s="7"/>
      <c r="V124" s="7"/>
      <c r="W124" s="7"/>
      <c r="X124" s="7"/>
      <c r="Y124" s="7"/>
      <c r="Z124" s="7"/>
      <c r="AA124" s="7"/>
      <c r="AB124" s="7"/>
      <c r="AC124" s="7"/>
      <c r="AD124" s="7"/>
      <c r="AE124" s="8"/>
      <c r="AF124" s="8"/>
      <c r="AG124" s="6"/>
    </row>
    <row r="125" spans="1:33" ht="19.7" customHeight="1" x14ac:dyDescent="0.25">
      <c r="A125" s="6">
        <f t="shared" si="8"/>
        <v>40712</v>
      </c>
      <c r="B125" s="7">
        <f t="shared" si="7"/>
        <v>140753</v>
      </c>
      <c r="C125" s="7">
        <v>67332</v>
      </c>
      <c r="D125" s="7">
        <v>611</v>
      </c>
      <c r="E125" s="7">
        <v>518</v>
      </c>
      <c r="F125" s="7">
        <v>26410</v>
      </c>
      <c r="G125" s="7">
        <v>12879</v>
      </c>
      <c r="H125" s="7">
        <v>12810</v>
      </c>
      <c r="I125" s="7">
        <v>6294</v>
      </c>
      <c r="J125" s="7">
        <v>13899</v>
      </c>
      <c r="K125" s="7">
        <f t="shared" si="11"/>
        <v>-47509</v>
      </c>
      <c r="L125" s="7">
        <f t="shared" si="9"/>
        <v>-15959</v>
      </c>
      <c r="M125" s="8">
        <f t="shared" si="12"/>
        <v>-0.25235575952661715</v>
      </c>
      <c r="N125" s="8">
        <f t="shared" si="10"/>
        <v>-0.19160533551043935</v>
      </c>
      <c r="O125" s="7">
        <v>6116</v>
      </c>
      <c r="Q125" s="3"/>
      <c r="R125" s="3"/>
      <c r="S125" s="6"/>
      <c r="T125" s="7"/>
      <c r="U125" s="7"/>
      <c r="V125" s="7"/>
      <c r="W125" s="7"/>
      <c r="X125" s="7"/>
      <c r="Y125" s="7"/>
      <c r="Z125" s="7"/>
      <c r="AA125" s="7"/>
      <c r="AB125" s="7"/>
      <c r="AC125" s="7"/>
      <c r="AD125" s="7"/>
      <c r="AE125" s="8"/>
      <c r="AF125" s="8"/>
      <c r="AG125" s="6"/>
    </row>
    <row r="126" spans="1:33" ht="19.7" customHeight="1" x14ac:dyDescent="0.25">
      <c r="A126" s="6">
        <f t="shared" si="8"/>
        <v>40719</v>
      </c>
      <c r="B126" s="7">
        <f t="shared" si="7"/>
        <v>139285</v>
      </c>
      <c r="C126" s="7">
        <v>78757</v>
      </c>
      <c r="D126" s="7">
        <v>683</v>
      </c>
      <c r="E126" s="7">
        <v>623</v>
      </c>
      <c r="F126" s="7">
        <v>25996</v>
      </c>
      <c r="G126" s="7">
        <v>12921</v>
      </c>
      <c r="H126" s="7">
        <v>13020</v>
      </c>
      <c r="I126" s="7">
        <v>6068</v>
      </c>
      <c r="J126" s="7">
        <v>1217</v>
      </c>
      <c r="K126" s="7">
        <f t="shared" si="11"/>
        <v>-48428</v>
      </c>
      <c r="L126" s="7">
        <f t="shared" si="9"/>
        <v>-4671</v>
      </c>
      <c r="M126" s="8">
        <f t="shared" si="12"/>
        <v>-0.25798959049186787</v>
      </c>
      <c r="N126" s="8">
        <f t="shared" si="10"/>
        <v>-5.5988397180802618E-2</v>
      </c>
      <c r="O126" s="7">
        <v>6186</v>
      </c>
      <c r="Q126" s="3"/>
      <c r="R126" s="3"/>
      <c r="S126" s="6"/>
      <c r="T126" s="7"/>
      <c r="U126" s="7"/>
      <c r="V126" s="7"/>
      <c r="W126" s="7"/>
      <c r="X126" s="7"/>
      <c r="Y126" s="7"/>
      <c r="Z126" s="7"/>
      <c r="AA126" s="7"/>
      <c r="AB126" s="7"/>
      <c r="AC126" s="7"/>
      <c r="AD126" s="7"/>
      <c r="AE126" s="8"/>
      <c r="AF126" s="8"/>
      <c r="AG126" s="6"/>
    </row>
    <row r="127" spans="1:33" ht="19.7" customHeight="1" x14ac:dyDescent="0.25">
      <c r="A127" s="6">
        <f t="shared" si="8"/>
        <v>40726</v>
      </c>
      <c r="B127" s="7">
        <f t="shared" si="7"/>
        <v>136549</v>
      </c>
      <c r="C127" s="7">
        <v>77184</v>
      </c>
      <c r="D127" s="7">
        <v>647</v>
      </c>
      <c r="E127" s="7">
        <v>565</v>
      </c>
      <c r="F127" s="7">
        <v>25692</v>
      </c>
      <c r="G127" s="7">
        <v>12853</v>
      </c>
      <c r="H127" s="7">
        <v>12416</v>
      </c>
      <c r="I127" s="7">
        <v>6562</v>
      </c>
      <c r="J127" s="7">
        <v>630</v>
      </c>
      <c r="K127" s="7">
        <f t="shared" si="11"/>
        <v>-48654</v>
      </c>
      <c r="L127" s="7">
        <f t="shared" si="9"/>
        <v>-5417</v>
      </c>
      <c r="M127" s="8">
        <f t="shared" si="12"/>
        <v>-0.26270632765127999</v>
      </c>
      <c r="N127" s="8">
        <f t="shared" si="10"/>
        <v>-6.5580319850849222E-2</v>
      </c>
      <c r="O127" s="7">
        <v>6346</v>
      </c>
      <c r="Q127" s="3"/>
      <c r="R127" s="3"/>
      <c r="S127" s="6"/>
      <c r="T127" s="7"/>
      <c r="U127" s="7"/>
      <c r="V127" s="7"/>
      <c r="W127" s="7"/>
      <c r="X127" s="7"/>
      <c r="Y127" s="7"/>
      <c r="Z127" s="7"/>
      <c r="AA127" s="7"/>
      <c r="AB127" s="7"/>
      <c r="AC127" s="7"/>
      <c r="AD127" s="7"/>
      <c r="AE127" s="8"/>
      <c r="AF127" s="8"/>
      <c r="AG127" s="6"/>
    </row>
    <row r="128" spans="1:33" ht="19.7" customHeight="1" x14ac:dyDescent="0.25">
      <c r="A128" s="6">
        <f t="shared" si="8"/>
        <v>40733</v>
      </c>
      <c r="B128" s="7">
        <f t="shared" si="7"/>
        <v>133365</v>
      </c>
      <c r="C128" s="7">
        <v>75527</v>
      </c>
      <c r="D128" s="7">
        <v>720</v>
      </c>
      <c r="E128" s="7">
        <v>536</v>
      </c>
      <c r="F128" s="7">
        <v>24832</v>
      </c>
      <c r="G128" s="7">
        <v>12722</v>
      </c>
      <c r="H128" s="7">
        <v>12181</v>
      </c>
      <c r="I128" s="7">
        <v>6455</v>
      </c>
      <c r="J128" s="7">
        <v>392</v>
      </c>
      <c r="K128" s="7">
        <f t="shared" si="11"/>
        <v>-48748</v>
      </c>
      <c r="L128" s="7">
        <f t="shared" si="9"/>
        <v>-5989</v>
      </c>
      <c r="M128" s="8">
        <f t="shared" si="12"/>
        <v>-0.26767995694980584</v>
      </c>
      <c r="N128" s="8">
        <f t="shared" si="10"/>
        <v>-7.3470238971490298E-2</v>
      </c>
      <c r="O128" s="7">
        <v>7932</v>
      </c>
      <c r="Q128" s="3"/>
      <c r="R128" s="3"/>
      <c r="S128" s="6"/>
      <c r="T128" s="7"/>
      <c r="U128" s="7"/>
      <c r="V128" s="7"/>
      <c r="W128" s="7"/>
      <c r="X128" s="7"/>
      <c r="Y128" s="7"/>
      <c r="Z128" s="7"/>
      <c r="AA128" s="7"/>
      <c r="AB128" s="7"/>
      <c r="AC128" s="7"/>
      <c r="AD128" s="7"/>
      <c r="AE128" s="8"/>
      <c r="AF128" s="8"/>
      <c r="AG128" s="6"/>
    </row>
    <row r="129" spans="1:33" ht="19.7" customHeight="1" x14ac:dyDescent="0.25">
      <c r="A129" s="6">
        <f t="shared" si="8"/>
        <v>40740</v>
      </c>
      <c r="B129" s="7">
        <f t="shared" si="7"/>
        <v>136571</v>
      </c>
      <c r="C129" s="7">
        <v>79831</v>
      </c>
      <c r="D129" s="7">
        <v>748</v>
      </c>
      <c r="E129" s="7">
        <v>558</v>
      </c>
      <c r="F129" s="7">
        <v>24191</v>
      </c>
      <c r="G129" s="7">
        <v>12464</v>
      </c>
      <c r="H129" s="7">
        <v>11948</v>
      </c>
      <c r="I129" s="7">
        <v>6478</v>
      </c>
      <c r="J129" s="7">
        <v>353</v>
      </c>
      <c r="K129" s="7">
        <f t="shared" si="11"/>
        <v>-48600</v>
      </c>
      <c r="L129" s="7">
        <f t="shared" si="9"/>
        <v>-7784</v>
      </c>
      <c r="M129" s="8">
        <f t="shared" si="12"/>
        <v>-0.26246010444400036</v>
      </c>
      <c r="N129" s="8">
        <f t="shared" si="10"/>
        <v>-8.8843234605946453E-2</v>
      </c>
      <c r="O129" s="7">
        <v>6828</v>
      </c>
      <c r="Q129" s="3"/>
      <c r="R129" s="3"/>
      <c r="S129" s="6"/>
      <c r="T129" s="7"/>
      <c r="U129" s="7"/>
      <c r="V129" s="7"/>
      <c r="W129" s="7"/>
      <c r="X129" s="7"/>
      <c r="Y129" s="7"/>
      <c r="Z129" s="7"/>
      <c r="AA129" s="7"/>
      <c r="AB129" s="7"/>
      <c r="AC129" s="7"/>
      <c r="AD129" s="7"/>
      <c r="AE129" s="8"/>
      <c r="AF129" s="8"/>
      <c r="AG129" s="6"/>
    </row>
    <row r="130" spans="1:33" ht="19.7" customHeight="1" x14ac:dyDescent="0.25">
      <c r="A130" s="6">
        <f t="shared" si="8"/>
        <v>40747</v>
      </c>
      <c r="B130" s="7">
        <f t="shared" si="7"/>
        <v>135538</v>
      </c>
      <c r="C130" s="7">
        <v>79355</v>
      </c>
      <c r="D130" s="7">
        <v>735</v>
      </c>
      <c r="E130" s="7">
        <v>516</v>
      </c>
      <c r="F130" s="7">
        <v>23977</v>
      </c>
      <c r="G130" s="7">
        <v>12288</v>
      </c>
      <c r="H130" s="7">
        <v>11757</v>
      </c>
      <c r="I130" s="7">
        <v>6615</v>
      </c>
      <c r="J130" s="7">
        <v>295</v>
      </c>
      <c r="K130" s="7">
        <f t="shared" si="11"/>
        <v>-44386</v>
      </c>
      <c r="L130" s="7">
        <f t="shared" si="9"/>
        <v>-5865</v>
      </c>
      <c r="M130" s="8">
        <f t="shared" si="12"/>
        <v>-0.24669304817589643</v>
      </c>
      <c r="N130" s="8">
        <f t="shared" si="10"/>
        <v>-6.8821872799812223E-2</v>
      </c>
      <c r="O130" s="7">
        <v>6018</v>
      </c>
      <c r="Q130" s="3"/>
      <c r="R130" s="3"/>
      <c r="S130" s="6"/>
      <c r="T130" s="7"/>
      <c r="U130" s="7"/>
      <c r="V130" s="7"/>
      <c r="W130" s="7"/>
      <c r="X130" s="7"/>
      <c r="Y130" s="7"/>
      <c r="Z130" s="7"/>
      <c r="AA130" s="7"/>
      <c r="AB130" s="7"/>
      <c r="AC130" s="7"/>
      <c r="AD130" s="7"/>
      <c r="AE130" s="8"/>
      <c r="AF130" s="8"/>
      <c r="AG130" s="6"/>
    </row>
    <row r="131" spans="1:33" ht="19.7" customHeight="1" x14ac:dyDescent="0.25">
      <c r="A131" s="6">
        <f t="shared" si="8"/>
        <v>40754</v>
      </c>
      <c r="B131" s="7">
        <f t="shared" si="7"/>
        <v>134735</v>
      </c>
      <c r="C131" s="7">
        <v>78645</v>
      </c>
      <c r="D131" s="7">
        <v>733</v>
      </c>
      <c r="E131" s="7">
        <v>516</v>
      </c>
      <c r="F131" s="7">
        <v>24078</v>
      </c>
      <c r="G131" s="7">
        <v>12467</v>
      </c>
      <c r="H131" s="7">
        <v>11521</v>
      </c>
      <c r="I131" s="7">
        <v>6524</v>
      </c>
      <c r="J131" s="7">
        <v>251</v>
      </c>
      <c r="K131" s="7">
        <f t="shared" si="11"/>
        <v>-52650</v>
      </c>
      <c r="L131" s="7">
        <f t="shared" si="9"/>
        <v>-6871</v>
      </c>
      <c r="M131" s="8">
        <f t="shared" si="12"/>
        <v>-0.28097232969554664</v>
      </c>
      <c r="N131" s="8">
        <f t="shared" si="10"/>
        <v>-8.0347537302960848E-2</v>
      </c>
      <c r="O131" s="7">
        <v>5498</v>
      </c>
      <c r="Q131" s="3"/>
      <c r="R131" s="3"/>
      <c r="S131" s="6"/>
      <c r="T131" s="7"/>
      <c r="U131" s="7"/>
      <c r="V131" s="7"/>
      <c r="W131" s="7"/>
      <c r="X131" s="7"/>
      <c r="Y131" s="7"/>
      <c r="Z131" s="7"/>
      <c r="AA131" s="7"/>
      <c r="AB131" s="7"/>
      <c r="AC131" s="7"/>
      <c r="AD131" s="7"/>
      <c r="AE131" s="8"/>
      <c r="AF131" s="8"/>
      <c r="AG131" s="6"/>
    </row>
    <row r="132" spans="1:33" ht="19.7" customHeight="1" x14ac:dyDescent="0.25">
      <c r="A132" s="6">
        <f t="shared" si="8"/>
        <v>40761</v>
      </c>
      <c r="B132" s="7">
        <f t="shared" ref="B132:B195" si="13">SUM(C132:J132)</f>
        <v>132928</v>
      </c>
      <c r="C132" s="7">
        <v>76953</v>
      </c>
      <c r="D132" s="7">
        <v>685</v>
      </c>
      <c r="E132" s="7">
        <v>524</v>
      </c>
      <c r="F132" s="7">
        <v>23828</v>
      </c>
      <c r="G132" s="7">
        <v>12501</v>
      </c>
      <c r="H132" s="7">
        <v>11542</v>
      </c>
      <c r="I132" s="7">
        <v>6711</v>
      </c>
      <c r="J132" s="7">
        <v>184</v>
      </c>
      <c r="K132" s="7">
        <f t="shared" si="11"/>
        <v>-51791</v>
      </c>
      <c r="L132" s="7">
        <f t="shared" si="9"/>
        <v>-7229</v>
      </c>
      <c r="M132" s="8">
        <f t="shared" si="12"/>
        <v>-0.2803772216177004</v>
      </c>
      <c r="N132" s="8">
        <f t="shared" si="10"/>
        <v>-8.5873464636145536E-2</v>
      </c>
      <c r="O132" s="7">
        <v>5585</v>
      </c>
      <c r="Q132" s="3"/>
      <c r="R132" s="3"/>
      <c r="S132" s="6"/>
      <c r="T132" s="7"/>
      <c r="U132" s="7"/>
      <c r="V132" s="7"/>
      <c r="W132" s="7"/>
      <c r="X132" s="7"/>
      <c r="Y132" s="7"/>
      <c r="Z132" s="7"/>
      <c r="AA132" s="7"/>
      <c r="AB132" s="7"/>
      <c r="AC132" s="7"/>
      <c r="AD132" s="7"/>
      <c r="AE132" s="8"/>
      <c r="AF132" s="8"/>
      <c r="AG132" s="6"/>
    </row>
    <row r="133" spans="1:33" ht="19.7" customHeight="1" x14ac:dyDescent="0.25">
      <c r="A133" s="6">
        <f t="shared" si="8"/>
        <v>40768</v>
      </c>
      <c r="B133" s="7">
        <f t="shared" si="13"/>
        <v>126798</v>
      </c>
      <c r="C133" s="7">
        <v>70991</v>
      </c>
      <c r="D133" s="7">
        <v>545</v>
      </c>
      <c r="E133" s="7">
        <v>498</v>
      </c>
      <c r="F133" s="7">
        <v>23837</v>
      </c>
      <c r="G133" s="7">
        <v>12506</v>
      </c>
      <c r="H133" s="7">
        <v>11456</v>
      </c>
      <c r="I133" s="7">
        <v>6790</v>
      </c>
      <c r="J133" s="7">
        <v>175</v>
      </c>
      <c r="K133" s="7">
        <f t="shared" si="11"/>
        <v>-58100</v>
      </c>
      <c r="L133" s="7">
        <f t="shared" si="9"/>
        <v>-12196</v>
      </c>
      <c r="M133" s="8">
        <f t="shared" si="12"/>
        <v>-0.31422730370258201</v>
      </c>
      <c r="N133" s="8">
        <f t="shared" si="10"/>
        <v>-0.14660944618750527</v>
      </c>
      <c r="O133" s="7">
        <v>5717</v>
      </c>
      <c r="Q133" s="3"/>
      <c r="R133" s="3"/>
      <c r="S133" s="6"/>
      <c r="T133" s="7"/>
      <c r="U133" s="7"/>
      <c r="V133" s="7"/>
      <c r="W133" s="7"/>
      <c r="X133" s="7"/>
      <c r="Y133" s="7"/>
      <c r="Z133" s="7"/>
      <c r="AA133" s="7"/>
      <c r="AB133" s="7"/>
      <c r="AC133" s="7"/>
      <c r="AD133" s="7"/>
      <c r="AE133" s="8"/>
      <c r="AF133" s="8"/>
      <c r="AG133" s="6"/>
    </row>
    <row r="134" spans="1:33" ht="19.7" customHeight="1" x14ac:dyDescent="0.25">
      <c r="A134" s="6">
        <f t="shared" ref="A134:A197" si="14">A133+7</f>
        <v>40775</v>
      </c>
      <c r="B134" s="7">
        <f t="shared" si="13"/>
        <v>125172</v>
      </c>
      <c r="C134" s="7">
        <v>69457</v>
      </c>
      <c r="D134" s="7">
        <v>438</v>
      </c>
      <c r="E134" s="7">
        <v>535</v>
      </c>
      <c r="F134" s="7">
        <v>24014</v>
      </c>
      <c r="G134" s="7">
        <v>12600</v>
      </c>
      <c r="H134" s="7">
        <v>11467</v>
      </c>
      <c r="I134" s="7">
        <v>6421</v>
      </c>
      <c r="J134" s="7">
        <v>240</v>
      </c>
      <c r="K134" s="7">
        <f t="shared" si="11"/>
        <v>-56516</v>
      </c>
      <c r="L134" s="7">
        <f t="shared" si="9"/>
        <v>-11128</v>
      </c>
      <c r="M134" s="8">
        <f t="shared" si="12"/>
        <v>-0.31106071947514424</v>
      </c>
      <c r="N134" s="8">
        <f t="shared" si="10"/>
        <v>-0.13809021530061427</v>
      </c>
      <c r="O134" s="7">
        <v>5467</v>
      </c>
      <c r="Q134" s="3"/>
      <c r="R134" s="3"/>
      <c r="S134" s="6"/>
      <c r="T134" s="7"/>
      <c r="U134" s="7"/>
      <c r="V134" s="7"/>
      <c r="W134" s="7"/>
      <c r="X134" s="7"/>
      <c r="Y134" s="7"/>
      <c r="Z134" s="7"/>
      <c r="AA134" s="7"/>
      <c r="AB134" s="7"/>
      <c r="AC134" s="7"/>
      <c r="AD134" s="7"/>
      <c r="AE134" s="8"/>
      <c r="AF134" s="8"/>
      <c r="AG134" s="6"/>
    </row>
    <row r="135" spans="1:33" ht="19.7" customHeight="1" x14ac:dyDescent="0.25">
      <c r="A135" s="6">
        <f t="shared" si="14"/>
        <v>40782</v>
      </c>
      <c r="B135" s="7">
        <f t="shared" si="13"/>
        <v>122669</v>
      </c>
      <c r="C135" s="7">
        <v>67394</v>
      </c>
      <c r="D135" s="7">
        <v>378</v>
      </c>
      <c r="E135" s="7">
        <v>532</v>
      </c>
      <c r="F135" s="7">
        <v>23895</v>
      </c>
      <c r="G135" s="7">
        <v>12480</v>
      </c>
      <c r="H135" s="7">
        <v>11497</v>
      </c>
      <c r="I135" s="7">
        <v>6319</v>
      </c>
      <c r="J135" s="7">
        <v>174</v>
      </c>
      <c r="K135" s="7">
        <f t="shared" si="11"/>
        <v>-58854</v>
      </c>
      <c r="L135" s="7">
        <f t="shared" si="9"/>
        <v>-12183</v>
      </c>
      <c r="M135" s="8">
        <f t="shared" si="12"/>
        <v>-0.32422337665199452</v>
      </c>
      <c r="N135" s="8">
        <f t="shared" si="10"/>
        <v>-0.15309700038955976</v>
      </c>
      <c r="O135" s="7">
        <v>5494</v>
      </c>
      <c r="Q135" s="3"/>
      <c r="R135" s="3"/>
      <c r="S135" s="6"/>
      <c r="T135" s="7"/>
      <c r="U135" s="7"/>
      <c r="V135" s="7"/>
      <c r="W135" s="7"/>
      <c r="X135" s="7"/>
      <c r="Y135" s="7"/>
      <c r="Z135" s="7"/>
      <c r="AA135" s="7"/>
      <c r="AB135" s="7"/>
      <c r="AC135" s="7"/>
      <c r="AD135" s="7"/>
      <c r="AE135" s="8"/>
      <c r="AF135" s="8"/>
      <c r="AG135" s="6"/>
    </row>
    <row r="136" spans="1:33" ht="19.7" customHeight="1" x14ac:dyDescent="0.25">
      <c r="A136" s="6">
        <f t="shared" si="14"/>
        <v>40789</v>
      </c>
      <c r="B136" s="7">
        <f t="shared" si="13"/>
        <v>121459</v>
      </c>
      <c r="C136" s="7">
        <v>66476</v>
      </c>
      <c r="D136" s="7">
        <v>359</v>
      </c>
      <c r="E136" s="7">
        <v>543</v>
      </c>
      <c r="F136" s="7">
        <v>23676</v>
      </c>
      <c r="G136" s="7">
        <v>12456</v>
      </c>
      <c r="H136" s="7">
        <v>11539</v>
      </c>
      <c r="I136" s="7">
        <v>6280</v>
      </c>
      <c r="J136" s="7">
        <v>130</v>
      </c>
      <c r="K136" s="7">
        <f t="shared" si="11"/>
        <v>-57960</v>
      </c>
      <c r="L136" s="7">
        <f t="shared" si="9"/>
        <v>-11700</v>
      </c>
      <c r="M136" s="8">
        <f t="shared" si="12"/>
        <v>-0.32304271008087215</v>
      </c>
      <c r="N136" s="8">
        <f t="shared" si="10"/>
        <v>-0.14966230045026607</v>
      </c>
      <c r="O136" s="7">
        <v>5483</v>
      </c>
      <c r="Q136" s="3"/>
      <c r="R136" s="3"/>
      <c r="S136" s="6"/>
      <c r="T136" s="7"/>
      <c r="U136" s="7"/>
      <c r="V136" s="7"/>
      <c r="W136" s="7"/>
      <c r="X136" s="7"/>
      <c r="Y136" s="7"/>
      <c r="Z136" s="7"/>
      <c r="AA136" s="7"/>
      <c r="AB136" s="7"/>
      <c r="AC136" s="7"/>
      <c r="AD136" s="7"/>
      <c r="AE136" s="8"/>
      <c r="AF136" s="8"/>
      <c r="AG136" s="6"/>
    </row>
    <row r="137" spans="1:33" ht="19.7" customHeight="1" x14ac:dyDescent="0.25">
      <c r="A137" s="6">
        <f t="shared" si="14"/>
        <v>40796</v>
      </c>
      <c r="B137" s="7">
        <f t="shared" si="13"/>
        <v>118525</v>
      </c>
      <c r="C137" s="7">
        <v>64165</v>
      </c>
      <c r="D137" s="7">
        <v>377</v>
      </c>
      <c r="E137" s="7">
        <v>543</v>
      </c>
      <c r="F137" s="7">
        <v>23312</v>
      </c>
      <c r="G137" s="7">
        <v>12449</v>
      </c>
      <c r="H137" s="7">
        <v>11404</v>
      </c>
      <c r="I137" s="7">
        <v>6155</v>
      </c>
      <c r="J137" s="7">
        <v>120</v>
      </c>
      <c r="K137" s="7">
        <f t="shared" si="11"/>
        <v>-56281</v>
      </c>
      <c r="L137" s="7">
        <f t="shared" si="9"/>
        <v>-10930</v>
      </c>
      <c r="M137" s="8">
        <f t="shared" si="12"/>
        <v>-0.32196263286157223</v>
      </c>
      <c r="N137" s="8">
        <f t="shared" si="10"/>
        <v>-0.14554897130301614</v>
      </c>
      <c r="O137" s="7">
        <v>4450</v>
      </c>
      <c r="Q137" s="3"/>
      <c r="R137" s="3"/>
      <c r="S137" s="6"/>
      <c r="T137" s="7"/>
      <c r="U137" s="7"/>
      <c r="V137" s="7"/>
      <c r="W137" s="7"/>
      <c r="X137" s="7"/>
      <c r="Y137" s="7"/>
      <c r="Z137" s="7"/>
      <c r="AA137" s="7"/>
      <c r="AB137" s="7"/>
      <c r="AC137" s="7"/>
      <c r="AD137" s="7"/>
      <c r="AE137" s="8"/>
      <c r="AF137" s="8"/>
      <c r="AG137" s="6"/>
    </row>
    <row r="138" spans="1:33" ht="19.7" customHeight="1" x14ac:dyDescent="0.25">
      <c r="A138" s="6">
        <f t="shared" si="14"/>
        <v>40803</v>
      </c>
      <c r="B138" s="7">
        <f t="shared" si="13"/>
        <v>119044</v>
      </c>
      <c r="C138" s="7">
        <v>64354</v>
      </c>
      <c r="D138" s="7">
        <v>353</v>
      </c>
      <c r="E138" s="7">
        <v>572</v>
      </c>
      <c r="F138" s="7">
        <v>23505</v>
      </c>
      <c r="G138" s="7">
        <v>12400</v>
      </c>
      <c r="H138" s="7">
        <v>11478</v>
      </c>
      <c r="I138" s="7">
        <v>6227</v>
      </c>
      <c r="J138" s="7">
        <v>155</v>
      </c>
      <c r="K138" s="7">
        <f t="shared" si="11"/>
        <v>-55049</v>
      </c>
      <c r="L138" s="7">
        <f t="shared" si="9"/>
        <v>-10442</v>
      </c>
      <c r="M138" s="8">
        <f t="shared" si="12"/>
        <v>-0.31620455733429831</v>
      </c>
      <c r="N138" s="8">
        <f t="shared" si="10"/>
        <v>-0.13960639606396064</v>
      </c>
      <c r="O138" s="7">
        <v>5158</v>
      </c>
      <c r="Q138" s="3"/>
      <c r="R138" s="3"/>
      <c r="S138" s="6"/>
      <c r="T138" s="7"/>
      <c r="U138" s="7"/>
      <c r="V138" s="7"/>
      <c r="W138" s="7"/>
      <c r="X138" s="7"/>
      <c r="Y138" s="7"/>
      <c r="Z138" s="7"/>
      <c r="AA138" s="7"/>
      <c r="AB138" s="7"/>
      <c r="AC138" s="7"/>
      <c r="AD138" s="7"/>
      <c r="AE138" s="8"/>
      <c r="AF138" s="8"/>
      <c r="AG138" s="6"/>
    </row>
    <row r="139" spans="1:33" ht="19.7" customHeight="1" x14ac:dyDescent="0.25">
      <c r="A139" s="6">
        <f t="shared" si="14"/>
        <v>40810</v>
      </c>
      <c r="B139" s="7">
        <f t="shared" si="13"/>
        <v>116668</v>
      </c>
      <c r="C139" s="7">
        <v>62572</v>
      </c>
      <c r="D139" s="7">
        <v>339</v>
      </c>
      <c r="E139" s="7">
        <v>565</v>
      </c>
      <c r="F139" s="7">
        <v>23275</v>
      </c>
      <c r="G139" s="7">
        <v>12121</v>
      </c>
      <c r="H139" s="7">
        <v>11445</v>
      </c>
      <c r="I139" s="7">
        <v>6202</v>
      </c>
      <c r="J139" s="7">
        <v>149</v>
      </c>
      <c r="K139" s="7">
        <f t="shared" si="11"/>
        <v>-56483</v>
      </c>
      <c r="L139" s="7">
        <f t="shared" si="9"/>
        <v>-10352</v>
      </c>
      <c r="M139" s="8">
        <f t="shared" si="12"/>
        <v>-0.32620660579494198</v>
      </c>
      <c r="N139" s="8">
        <f t="shared" si="10"/>
        <v>-0.14195600899566674</v>
      </c>
      <c r="O139" s="7">
        <v>5161</v>
      </c>
      <c r="Q139" s="3"/>
      <c r="R139" s="3"/>
      <c r="S139" s="6"/>
      <c r="T139" s="7"/>
      <c r="U139" s="7"/>
      <c r="V139" s="7"/>
      <c r="W139" s="7"/>
      <c r="X139" s="7"/>
      <c r="Y139" s="7"/>
      <c r="Z139" s="7"/>
      <c r="AA139" s="7"/>
      <c r="AB139" s="7"/>
      <c r="AC139" s="7"/>
      <c r="AD139" s="7"/>
      <c r="AE139" s="8"/>
      <c r="AF139" s="8"/>
      <c r="AG139" s="6"/>
    </row>
    <row r="140" spans="1:33" ht="19.7" customHeight="1" x14ac:dyDescent="0.25">
      <c r="A140" s="6">
        <f t="shared" si="14"/>
        <v>40817</v>
      </c>
      <c r="B140" s="7">
        <f t="shared" si="13"/>
        <v>115358</v>
      </c>
      <c r="C140" s="7">
        <v>61689</v>
      </c>
      <c r="D140" s="7">
        <v>347</v>
      </c>
      <c r="E140" s="7">
        <v>555</v>
      </c>
      <c r="F140" s="7">
        <v>23125</v>
      </c>
      <c r="G140" s="7">
        <v>11993</v>
      </c>
      <c r="H140" s="7">
        <v>11346</v>
      </c>
      <c r="I140" s="7">
        <v>6180</v>
      </c>
      <c r="J140" s="7">
        <v>123</v>
      </c>
      <c r="K140" s="7">
        <f t="shared" si="11"/>
        <v>-56021</v>
      </c>
      <c r="L140" s="7">
        <f t="shared" si="9"/>
        <v>-10395</v>
      </c>
      <c r="M140" s="8">
        <f t="shared" si="12"/>
        <v>-0.32688369053384603</v>
      </c>
      <c r="N140" s="8">
        <f t="shared" si="10"/>
        <v>-0.14420675878142164</v>
      </c>
      <c r="O140" s="7">
        <v>5171</v>
      </c>
      <c r="Q140" s="3"/>
      <c r="R140" s="3"/>
      <c r="S140" s="6"/>
      <c r="T140" s="7"/>
      <c r="U140" s="7"/>
      <c r="V140" s="7"/>
      <c r="W140" s="7"/>
      <c r="X140" s="7"/>
      <c r="Y140" s="7"/>
      <c r="Z140" s="7"/>
      <c r="AA140" s="7"/>
      <c r="AB140" s="7"/>
      <c r="AC140" s="7"/>
      <c r="AD140" s="7"/>
      <c r="AE140" s="8"/>
      <c r="AF140" s="8"/>
      <c r="AG140" s="6"/>
    </row>
    <row r="141" spans="1:33" ht="19.7" customHeight="1" x14ac:dyDescent="0.25">
      <c r="A141" s="6">
        <f t="shared" si="14"/>
        <v>40824</v>
      </c>
      <c r="B141" s="7">
        <f t="shared" si="13"/>
        <v>113556</v>
      </c>
      <c r="C141" s="7">
        <v>60412</v>
      </c>
      <c r="D141" s="7">
        <v>351</v>
      </c>
      <c r="E141" s="7">
        <v>552</v>
      </c>
      <c r="F141" s="7">
        <v>22715</v>
      </c>
      <c r="G141" s="7">
        <v>11858</v>
      </c>
      <c r="H141" s="7">
        <v>11348</v>
      </c>
      <c r="I141" s="7">
        <v>6210</v>
      </c>
      <c r="J141" s="7">
        <v>110</v>
      </c>
      <c r="K141" s="7">
        <f t="shared" si="11"/>
        <v>-55713</v>
      </c>
      <c r="L141" s="7">
        <f t="shared" si="9"/>
        <v>-10042</v>
      </c>
      <c r="M141" s="8">
        <f t="shared" si="12"/>
        <v>-0.32913882636513481</v>
      </c>
      <c r="N141" s="8">
        <f t="shared" si="10"/>
        <v>-0.14253271638232035</v>
      </c>
      <c r="O141" s="7">
        <v>6956</v>
      </c>
      <c r="Q141" s="3"/>
      <c r="R141" s="3"/>
      <c r="S141" s="6"/>
      <c r="T141" s="7"/>
      <c r="U141" s="7"/>
      <c r="V141" s="7"/>
      <c r="W141" s="7"/>
      <c r="X141" s="7"/>
      <c r="Y141" s="7"/>
      <c r="Z141" s="7"/>
      <c r="AA141" s="7"/>
      <c r="AB141" s="7"/>
      <c r="AC141" s="7"/>
      <c r="AD141" s="7"/>
      <c r="AE141" s="8"/>
      <c r="AF141" s="8"/>
      <c r="AG141" s="6"/>
    </row>
    <row r="142" spans="1:33" ht="19.7" customHeight="1" x14ac:dyDescent="0.25">
      <c r="A142" s="6">
        <f t="shared" si="14"/>
        <v>40831</v>
      </c>
      <c r="B142" s="7">
        <f t="shared" si="13"/>
        <v>111861</v>
      </c>
      <c r="C142" s="7">
        <v>60380</v>
      </c>
      <c r="D142" s="7">
        <v>378</v>
      </c>
      <c r="E142" s="7">
        <v>601</v>
      </c>
      <c r="F142" s="7">
        <v>21874</v>
      </c>
      <c r="G142" s="7">
        <v>11463</v>
      </c>
      <c r="H142" s="7">
        <v>11070</v>
      </c>
      <c r="I142" s="7">
        <v>5988</v>
      </c>
      <c r="J142" s="7">
        <v>107</v>
      </c>
      <c r="K142" s="7">
        <f t="shared" si="11"/>
        <v>-55341</v>
      </c>
      <c r="L142" s="7">
        <f t="shared" si="9"/>
        <v>-9876</v>
      </c>
      <c r="M142" s="8">
        <f t="shared" si="12"/>
        <v>-0.33098288297986866</v>
      </c>
      <c r="N142" s="8">
        <f t="shared" si="10"/>
        <v>-0.14057162377590526</v>
      </c>
      <c r="O142" s="7">
        <v>6145</v>
      </c>
      <c r="Q142" s="3"/>
      <c r="R142" s="3"/>
      <c r="S142" s="6"/>
      <c r="T142" s="7"/>
      <c r="U142" s="7"/>
      <c r="V142" s="7"/>
      <c r="W142" s="7"/>
      <c r="X142" s="7"/>
      <c r="Y142" s="7"/>
      <c r="Z142" s="7"/>
      <c r="AA142" s="7"/>
      <c r="AB142" s="7"/>
      <c r="AC142" s="7"/>
      <c r="AD142" s="7"/>
      <c r="AE142" s="8"/>
      <c r="AF142" s="8"/>
      <c r="AG142" s="6"/>
    </row>
    <row r="143" spans="1:33" ht="19.7" customHeight="1" x14ac:dyDescent="0.25">
      <c r="A143" s="6">
        <f t="shared" si="14"/>
        <v>40838</v>
      </c>
      <c r="B143" s="7">
        <f t="shared" si="13"/>
        <v>112124</v>
      </c>
      <c r="C143" s="7">
        <v>60636</v>
      </c>
      <c r="D143" s="7">
        <v>434</v>
      </c>
      <c r="E143" s="7">
        <v>548</v>
      </c>
      <c r="F143" s="7">
        <v>21916</v>
      </c>
      <c r="G143" s="7">
        <v>11426</v>
      </c>
      <c r="H143" s="7">
        <v>11041</v>
      </c>
      <c r="I143" s="7">
        <v>6001</v>
      </c>
      <c r="J143" s="7">
        <v>122</v>
      </c>
      <c r="K143" s="7">
        <f t="shared" si="11"/>
        <v>-56312</v>
      </c>
      <c r="L143" s="7">
        <f t="shared" si="9"/>
        <v>-10745</v>
      </c>
      <c r="M143" s="8">
        <f t="shared" si="12"/>
        <v>-0.3343228288489396</v>
      </c>
      <c r="N143" s="8">
        <f t="shared" si="10"/>
        <v>-0.15053025314859692</v>
      </c>
      <c r="O143" s="7">
        <v>5410</v>
      </c>
      <c r="Q143" s="3"/>
      <c r="R143" s="3"/>
      <c r="S143" s="6"/>
      <c r="T143" s="7"/>
      <c r="U143" s="7"/>
      <c r="V143" s="7"/>
      <c r="W143" s="7"/>
      <c r="X143" s="7"/>
      <c r="Y143" s="7"/>
      <c r="Z143" s="7"/>
      <c r="AA143" s="7"/>
      <c r="AB143" s="7"/>
      <c r="AC143" s="7"/>
      <c r="AD143" s="7"/>
      <c r="AE143" s="8"/>
      <c r="AF143" s="8"/>
      <c r="AG143" s="6"/>
    </row>
    <row r="144" spans="1:33" ht="19.7" customHeight="1" x14ac:dyDescent="0.25">
      <c r="A144" s="6">
        <f t="shared" si="14"/>
        <v>40845</v>
      </c>
      <c r="B144" s="7">
        <f t="shared" si="13"/>
        <v>110595</v>
      </c>
      <c r="C144" s="7">
        <v>59420</v>
      </c>
      <c r="D144" s="7">
        <v>473</v>
      </c>
      <c r="E144" s="7">
        <v>554</v>
      </c>
      <c r="F144" s="7">
        <v>21918</v>
      </c>
      <c r="G144" s="7">
        <v>11258</v>
      </c>
      <c r="H144" s="7">
        <v>11160</v>
      </c>
      <c r="I144" s="7">
        <v>5695</v>
      </c>
      <c r="J144" s="7">
        <v>117</v>
      </c>
      <c r="K144" s="7">
        <f t="shared" si="11"/>
        <v>-56796</v>
      </c>
      <c r="L144" s="7">
        <f t="shared" si="9"/>
        <v>-10306</v>
      </c>
      <c r="M144" s="8">
        <f t="shared" si="12"/>
        <v>-0.33930139613240851</v>
      </c>
      <c r="N144" s="8">
        <f t="shared" si="10"/>
        <v>-0.14780713076901009</v>
      </c>
      <c r="O144" s="7">
        <v>5422</v>
      </c>
      <c r="Q144" s="3"/>
      <c r="R144" s="3"/>
      <c r="S144" s="6"/>
      <c r="T144" s="7"/>
      <c r="U144" s="7"/>
      <c r="V144" s="7"/>
      <c r="W144" s="7"/>
      <c r="X144" s="7"/>
      <c r="Y144" s="7"/>
      <c r="Z144" s="7"/>
      <c r="AA144" s="7"/>
      <c r="AB144" s="7"/>
      <c r="AC144" s="7"/>
      <c r="AD144" s="7"/>
      <c r="AE144" s="8"/>
      <c r="AF144" s="8"/>
      <c r="AG144" s="6"/>
    </row>
    <row r="145" spans="1:33" ht="19.7" customHeight="1" x14ac:dyDescent="0.25">
      <c r="A145" s="6">
        <f t="shared" si="14"/>
        <v>40852</v>
      </c>
      <c r="B145" s="7">
        <f t="shared" si="13"/>
        <v>109193</v>
      </c>
      <c r="C145" s="7">
        <v>58344</v>
      </c>
      <c r="D145" s="7">
        <v>507</v>
      </c>
      <c r="E145" s="7">
        <v>548</v>
      </c>
      <c r="F145" s="7">
        <v>21866</v>
      </c>
      <c r="G145" s="7">
        <v>11073</v>
      </c>
      <c r="H145" s="7">
        <v>11113</v>
      </c>
      <c r="I145" s="7">
        <v>5647</v>
      </c>
      <c r="J145" s="7">
        <v>95</v>
      </c>
      <c r="K145" s="7">
        <f t="shared" si="11"/>
        <v>-55192</v>
      </c>
      <c r="L145" s="7">
        <f t="shared" si="9"/>
        <v>-9692</v>
      </c>
      <c r="M145" s="8">
        <f t="shared" si="12"/>
        <v>-0.33574839553487246</v>
      </c>
      <c r="N145" s="8">
        <f t="shared" si="10"/>
        <v>-0.14245399494385325</v>
      </c>
      <c r="O145" s="7">
        <v>5386</v>
      </c>
      <c r="Q145" s="3"/>
      <c r="R145" s="3"/>
      <c r="S145" s="6"/>
      <c r="T145" s="7"/>
      <c r="U145" s="7"/>
      <c r="V145" s="7"/>
      <c r="W145" s="7"/>
      <c r="X145" s="7"/>
      <c r="Y145" s="7"/>
      <c r="Z145" s="7"/>
      <c r="AA145" s="7"/>
      <c r="AB145" s="7"/>
      <c r="AC145" s="7"/>
      <c r="AD145" s="7"/>
      <c r="AE145" s="8"/>
      <c r="AF145" s="8"/>
      <c r="AG145" s="6"/>
    </row>
    <row r="146" spans="1:33" ht="19.7" customHeight="1" x14ac:dyDescent="0.25">
      <c r="A146" s="6">
        <f t="shared" si="14"/>
        <v>40859</v>
      </c>
      <c r="B146" s="7">
        <f t="shared" si="13"/>
        <v>105201</v>
      </c>
      <c r="C146" s="7">
        <v>55534</v>
      </c>
      <c r="D146" s="7">
        <v>489</v>
      </c>
      <c r="E146" s="7">
        <v>528</v>
      </c>
      <c r="F146" s="7">
        <v>21278</v>
      </c>
      <c r="G146" s="7">
        <v>10906</v>
      </c>
      <c r="H146" s="7">
        <v>10942</v>
      </c>
      <c r="I146" s="7">
        <v>5460</v>
      </c>
      <c r="J146" s="7">
        <v>64</v>
      </c>
      <c r="K146" s="7">
        <f t="shared" si="11"/>
        <v>-57108</v>
      </c>
      <c r="L146" s="7">
        <f t="shared" si="9"/>
        <v>-11485</v>
      </c>
      <c r="M146" s="8">
        <f t="shared" si="12"/>
        <v>-0.35184740217732846</v>
      </c>
      <c r="N146" s="8">
        <f t="shared" si="10"/>
        <v>-0.1713693131798445</v>
      </c>
      <c r="O146" s="7">
        <v>4351</v>
      </c>
      <c r="Q146" s="3"/>
      <c r="R146" s="3"/>
      <c r="S146" s="6"/>
      <c r="T146" s="7"/>
      <c r="U146" s="7"/>
      <c r="V146" s="7"/>
      <c r="W146" s="7"/>
      <c r="X146" s="7"/>
      <c r="Y146" s="7"/>
      <c r="Z146" s="7"/>
      <c r="AA146" s="7"/>
      <c r="AB146" s="7"/>
      <c r="AC146" s="7"/>
      <c r="AD146" s="7"/>
      <c r="AE146" s="8"/>
      <c r="AF146" s="8"/>
      <c r="AG146" s="6"/>
    </row>
    <row r="147" spans="1:33" ht="19.7" customHeight="1" x14ac:dyDescent="0.25">
      <c r="A147" s="6">
        <f t="shared" si="14"/>
        <v>40866</v>
      </c>
      <c r="B147" s="7">
        <f t="shared" si="13"/>
        <v>107055</v>
      </c>
      <c r="C147" s="7">
        <v>56712</v>
      </c>
      <c r="D147" s="7">
        <v>538</v>
      </c>
      <c r="E147" s="7">
        <v>555</v>
      </c>
      <c r="F147" s="7">
        <v>21727</v>
      </c>
      <c r="G147" s="7">
        <v>10794</v>
      </c>
      <c r="H147" s="7">
        <v>11054</v>
      </c>
      <c r="I147" s="7">
        <v>5578</v>
      </c>
      <c r="J147" s="7">
        <v>97</v>
      </c>
      <c r="K147" s="7">
        <f t="shared" si="11"/>
        <v>-55122</v>
      </c>
      <c r="L147" s="7">
        <f t="shared" si="9"/>
        <v>-10276</v>
      </c>
      <c r="M147" s="8">
        <f t="shared" si="12"/>
        <v>-0.33988790025712645</v>
      </c>
      <c r="N147" s="8">
        <f t="shared" si="10"/>
        <v>-0.15340060906431008</v>
      </c>
      <c r="O147" s="7">
        <v>5886</v>
      </c>
      <c r="Q147" s="3"/>
      <c r="R147" s="3"/>
      <c r="S147" s="6"/>
      <c r="T147" s="7"/>
      <c r="U147" s="7"/>
      <c r="V147" s="7"/>
      <c r="W147" s="7"/>
      <c r="X147" s="7"/>
      <c r="Y147" s="7"/>
      <c r="Z147" s="7"/>
      <c r="AA147" s="7"/>
      <c r="AB147" s="7"/>
      <c r="AC147" s="7"/>
      <c r="AD147" s="7"/>
      <c r="AE147" s="8"/>
      <c r="AF147" s="8"/>
      <c r="AG147" s="6"/>
    </row>
    <row r="148" spans="1:33" ht="19.7" customHeight="1" x14ac:dyDescent="0.25">
      <c r="A148" s="6">
        <f t="shared" si="14"/>
        <v>40873</v>
      </c>
      <c r="B148" s="7">
        <f t="shared" si="13"/>
        <v>102516</v>
      </c>
      <c r="C148" s="7">
        <v>54005</v>
      </c>
      <c r="D148" s="7">
        <v>514</v>
      </c>
      <c r="E148" s="7">
        <v>538</v>
      </c>
      <c r="F148" s="7">
        <v>21078</v>
      </c>
      <c r="G148" s="7">
        <v>10329</v>
      </c>
      <c r="H148" s="7">
        <v>10600</v>
      </c>
      <c r="I148" s="7">
        <v>5382</v>
      </c>
      <c r="J148" s="7">
        <v>70</v>
      </c>
      <c r="K148" s="7">
        <f t="shared" si="11"/>
        <v>-50953</v>
      </c>
      <c r="L148" s="7">
        <f t="shared" si="9"/>
        <v>-8681</v>
      </c>
      <c r="M148" s="8">
        <f t="shared" si="12"/>
        <v>-0.33200841863829178</v>
      </c>
      <c r="N148" s="8">
        <f t="shared" si="10"/>
        <v>-0.13848387199693712</v>
      </c>
      <c r="O148" s="7">
        <v>3905</v>
      </c>
      <c r="Q148" s="3"/>
      <c r="R148" s="3"/>
      <c r="S148" s="6"/>
      <c r="T148" s="7"/>
      <c r="U148" s="7"/>
      <c r="V148" s="7"/>
      <c r="W148" s="7"/>
      <c r="X148" s="7"/>
      <c r="Y148" s="7"/>
      <c r="Z148" s="7"/>
      <c r="AA148" s="7"/>
      <c r="AB148" s="7"/>
      <c r="AC148" s="7"/>
      <c r="AD148" s="7"/>
      <c r="AE148" s="8"/>
      <c r="AF148" s="8"/>
      <c r="AG148" s="6"/>
    </row>
    <row r="149" spans="1:33" ht="19.7" customHeight="1" x14ac:dyDescent="0.25">
      <c r="A149" s="6">
        <f t="shared" si="14"/>
        <v>40880</v>
      </c>
      <c r="B149" s="7">
        <f t="shared" si="13"/>
        <v>104230</v>
      </c>
      <c r="C149" s="7">
        <v>56074</v>
      </c>
      <c r="D149" s="7">
        <v>558</v>
      </c>
      <c r="E149" s="7">
        <v>574</v>
      </c>
      <c r="F149" s="7">
        <v>21436</v>
      </c>
      <c r="G149" s="7">
        <v>9843</v>
      </c>
      <c r="H149" s="7">
        <v>10354</v>
      </c>
      <c r="I149" s="7">
        <v>5314</v>
      </c>
      <c r="J149" s="7">
        <v>77</v>
      </c>
      <c r="K149" s="7">
        <f t="shared" si="11"/>
        <v>-55187</v>
      </c>
      <c r="L149" s="7">
        <f t="shared" si="9"/>
        <v>-10028</v>
      </c>
      <c r="M149" s="8">
        <f t="shared" si="12"/>
        <v>-0.34618014389933316</v>
      </c>
      <c r="N149" s="8">
        <f t="shared" si="10"/>
        <v>-0.151704940848991</v>
      </c>
      <c r="O149" s="7">
        <v>5397</v>
      </c>
      <c r="Q149" s="3"/>
      <c r="R149" s="3"/>
      <c r="S149" s="6"/>
      <c r="T149" s="7"/>
      <c r="U149" s="7"/>
      <c r="V149" s="7"/>
      <c r="W149" s="7"/>
      <c r="X149" s="7"/>
      <c r="Y149" s="7"/>
      <c r="Z149" s="7"/>
      <c r="AA149" s="7"/>
      <c r="AB149" s="7"/>
      <c r="AC149" s="7"/>
      <c r="AD149" s="7"/>
      <c r="AE149" s="8"/>
      <c r="AF149" s="8"/>
      <c r="AG149" s="6"/>
    </row>
    <row r="150" spans="1:33" ht="19.7" customHeight="1" x14ac:dyDescent="0.25">
      <c r="A150" s="6">
        <f t="shared" si="14"/>
        <v>40887</v>
      </c>
      <c r="B150" s="7">
        <f t="shared" si="13"/>
        <v>101498</v>
      </c>
      <c r="C150" s="7">
        <v>54038</v>
      </c>
      <c r="D150" s="7">
        <v>570</v>
      </c>
      <c r="E150" s="7">
        <v>568</v>
      </c>
      <c r="F150" s="7">
        <v>20931</v>
      </c>
      <c r="G150" s="7">
        <v>9703</v>
      </c>
      <c r="H150" s="7">
        <v>10208</v>
      </c>
      <c r="I150" s="7">
        <v>5393</v>
      </c>
      <c r="J150" s="7">
        <v>87</v>
      </c>
      <c r="K150" s="7">
        <f t="shared" si="11"/>
        <v>-54462</v>
      </c>
      <c r="L150" s="7">
        <f t="shared" si="9"/>
        <v>-10563</v>
      </c>
      <c r="M150" s="8">
        <f t="shared" si="12"/>
        <v>-0.34920492433957429</v>
      </c>
      <c r="N150" s="8">
        <f t="shared" si="10"/>
        <v>-0.1635114007523103</v>
      </c>
      <c r="O150" s="7">
        <v>4973</v>
      </c>
      <c r="Q150" s="3"/>
      <c r="R150" s="3"/>
      <c r="S150" s="6"/>
      <c r="T150" s="7"/>
      <c r="U150" s="7"/>
      <c r="V150" s="7"/>
      <c r="W150" s="7"/>
      <c r="X150" s="7"/>
      <c r="Y150" s="7"/>
      <c r="Z150" s="7"/>
      <c r="AA150" s="7"/>
      <c r="AB150" s="7"/>
      <c r="AC150" s="7"/>
      <c r="AD150" s="7"/>
      <c r="AE150" s="8"/>
      <c r="AF150" s="8"/>
      <c r="AG150" s="6"/>
    </row>
    <row r="151" spans="1:33" ht="19.7" customHeight="1" x14ac:dyDescent="0.25">
      <c r="A151" s="6">
        <f t="shared" si="14"/>
        <v>40894</v>
      </c>
      <c r="B151" s="7">
        <f t="shared" si="13"/>
        <v>101088</v>
      </c>
      <c r="C151" s="7">
        <v>53779</v>
      </c>
      <c r="D151" s="7">
        <v>586</v>
      </c>
      <c r="E151" s="7">
        <v>538</v>
      </c>
      <c r="F151" s="7">
        <v>20839</v>
      </c>
      <c r="G151" s="7">
        <v>9682</v>
      </c>
      <c r="H151" s="7">
        <v>10075</v>
      </c>
      <c r="I151" s="7">
        <v>5503</v>
      </c>
      <c r="J151" s="7">
        <v>86</v>
      </c>
      <c r="K151" s="7">
        <f t="shared" si="11"/>
        <v>-49088</v>
      </c>
      <c r="L151" s="7">
        <f t="shared" si="9"/>
        <v>-9844</v>
      </c>
      <c r="M151" s="8">
        <f t="shared" si="12"/>
        <v>-0.32686980609418281</v>
      </c>
      <c r="N151" s="8">
        <f t="shared" si="10"/>
        <v>-0.15472392059475348</v>
      </c>
      <c r="O151" s="7">
        <v>5182</v>
      </c>
      <c r="Q151" s="3"/>
      <c r="R151" s="3"/>
      <c r="S151" s="6"/>
      <c r="T151" s="7"/>
      <c r="U151" s="7"/>
      <c r="V151" s="7"/>
      <c r="W151" s="7"/>
      <c r="X151" s="7"/>
      <c r="Y151" s="7"/>
      <c r="Z151" s="7"/>
      <c r="AA151" s="7"/>
      <c r="AB151" s="7"/>
      <c r="AC151" s="7"/>
      <c r="AD151" s="7"/>
      <c r="AE151" s="8"/>
      <c r="AF151" s="8"/>
      <c r="AG151" s="6"/>
    </row>
    <row r="152" spans="1:33" ht="19.7" customHeight="1" x14ac:dyDescent="0.25">
      <c r="A152" s="6">
        <f t="shared" si="14"/>
        <v>40901</v>
      </c>
      <c r="B152" s="7">
        <f t="shared" si="13"/>
        <v>100945</v>
      </c>
      <c r="C152" s="7">
        <v>53703</v>
      </c>
      <c r="D152" s="7">
        <v>606</v>
      </c>
      <c r="E152" s="7">
        <v>510</v>
      </c>
      <c r="F152" s="7">
        <v>20868</v>
      </c>
      <c r="G152" s="7">
        <v>9654</v>
      </c>
      <c r="H152" s="7">
        <v>10027</v>
      </c>
      <c r="I152" s="7">
        <v>5497</v>
      </c>
      <c r="J152" s="7">
        <v>80</v>
      </c>
      <c r="K152" s="7">
        <f t="shared" si="11"/>
        <v>-40610</v>
      </c>
      <c r="L152" s="7">
        <f t="shared" si="9"/>
        <v>-7747</v>
      </c>
      <c r="M152" s="8">
        <f t="shared" si="12"/>
        <v>-0.28688495637737976</v>
      </c>
      <c r="N152" s="8">
        <f t="shared" si="10"/>
        <v>-0.12606997558991051</v>
      </c>
      <c r="O152" s="7">
        <v>5057</v>
      </c>
      <c r="Q152" s="3"/>
      <c r="R152" s="3"/>
      <c r="S152" s="6"/>
      <c r="T152" s="7"/>
      <c r="U152" s="7"/>
      <c r="V152" s="7"/>
      <c r="W152" s="7"/>
      <c r="X152" s="7"/>
      <c r="Y152" s="7"/>
      <c r="Z152" s="7"/>
      <c r="AA152" s="7"/>
      <c r="AB152" s="7"/>
      <c r="AC152" s="7"/>
      <c r="AD152" s="7"/>
      <c r="AE152" s="8"/>
      <c r="AF152" s="8"/>
      <c r="AG152" s="6"/>
    </row>
    <row r="153" spans="1:33" ht="19.7" customHeight="1" x14ac:dyDescent="0.25">
      <c r="A153" s="6">
        <f t="shared" si="14"/>
        <v>40908</v>
      </c>
      <c r="B153" s="7">
        <f t="shared" si="13"/>
        <v>100087</v>
      </c>
      <c r="C153" s="7">
        <v>53573</v>
      </c>
      <c r="D153" s="7">
        <v>604</v>
      </c>
      <c r="E153" s="7">
        <v>548</v>
      </c>
      <c r="F153" s="7">
        <v>20555</v>
      </c>
      <c r="G153" s="7">
        <v>9567</v>
      </c>
      <c r="H153" s="7">
        <v>9745</v>
      </c>
      <c r="I153" s="7">
        <v>5431</v>
      </c>
      <c r="J153" s="7">
        <v>64</v>
      </c>
      <c r="K153" s="7">
        <f t="shared" si="11"/>
        <v>-49922</v>
      </c>
      <c r="L153" s="7">
        <f t="shared" si="9"/>
        <v>-9733</v>
      </c>
      <c r="M153" s="8">
        <f t="shared" si="12"/>
        <v>-0.3327933657313894</v>
      </c>
      <c r="N153" s="8">
        <f t="shared" si="10"/>
        <v>-0.15374530060341829</v>
      </c>
      <c r="O153" s="7">
        <v>4505</v>
      </c>
      <c r="Q153" s="3"/>
      <c r="R153" s="3"/>
      <c r="S153" s="6"/>
      <c r="T153" s="7"/>
      <c r="U153" s="7"/>
      <c r="V153" s="7"/>
      <c r="W153" s="7"/>
      <c r="X153" s="7"/>
      <c r="Y153" s="7"/>
      <c r="Z153" s="7"/>
      <c r="AA153" s="7"/>
      <c r="AB153" s="7"/>
      <c r="AC153" s="7"/>
      <c r="AD153" s="7"/>
      <c r="AE153" s="8"/>
      <c r="AF153" s="8"/>
      <c r="AG153" s="6"/>
    </row>
    <row r="154" spans="1:33" ht="19.7" customHeight="1" x14ac:dyDescent="0.25">
      <c r="A154" s="6">
        <f t="shared" si="14"/>
        <v>40915</v>
      </c>
      <c r="B154" s="7">
        <f t="shared" si="13"/>
        <v>101554</v>
      </c>
      <c r="C154" s="7">
        <v>54391</v>
      </c>
      <c r="D154" s="7">
        <v>700</v>
      </c>
      <c r="E154" s="7">
        <v>524</v>
      </c>
      <c r="F154" s="7">
        <v>20896</v>
      </c>
      <c r="G154" s="7">
        <v>9566</v>
      </c>
      <c r="H154" s="7">
        <v>9883</v>
      </c>
      <c r="I154" s="7">
        <v>5515</v>
      </c>
      <c r="J154" s="7">
        <v>79</v>
      </c>
      <c r="K154" s="7">
        <f t="shared" si="11"/>
        <v>-51765</v>
      </c>
      <c r="L154" s="7">
        <f t="shared" si="9"/>
        <v>-10144</v>
      </c>
      <c r="M154" s="8">
        <f t="shared" si="12"/>
        <v>-0.33762938709488066</v>
      </c>
      <c r="N154" s="8">
        <f t="shared" si="10"/>
        <v>-0.1571860230882467</v>
      </c>
      <c r="O154" s="7">
        <v>6869</v>
      </c>
      <c r="Q154" s="3"/>
      <c r="R154" s="3"/>
      <c r="S154" s="6"/>
      <c r="T154" s="7"/>
      <c r="U154" s="7"/>
      <c r="V154" s="7"/>
      <c r="W154" s="7"/>
      <c r="X154" s="7"/>
      <c r="Y154" s="7"/>
      <c r="Z154" s="7"/>
      <c r="AA154" s="7"/>
      <c r="AB154" s="7"/>
      <c r="AC154" s="7"/>
      <c r="AD154" s="7"/>
      <c r="AE154" s="8"/>
      <c r="AF154" s="8"/>
      <c r="AG154" s="6"/>
    </row>
    <row r="155" spans="1:33" ht="19.7" customHeight="1" x14ac:dyDescent="0.25">
      <c r="A155" s="6">
        <f t="shared" si="14"/>
        <v>40922</v>
      </c>
      <c r="B155" s="7">
        <f t="shared" si="13"/>
        <v>102716</v>
      </c>
      <c r="C155" s="7">
        <v>55555</v>
      </c>
      <c r="D155" s="7">
        <v>707</v>
      </c>
      <c r="E155" s="7">
        <v>540</v>
      </c>
      <c r="F155" s="7">
        <v>20949</v>
      </c>
      <c r="G155" s="7">
        <v>9602</v>
      </c>
      <c r="H155" s="7">
        <v>9747</v>
      </c>
      <c r="I155" s="7">
        <v>5537</v>
      </c>
      <c r="J155" s="7">
        <v>79</v>
      </c>
      <c r="K155" s="7">
        <f t="shared" si="11"/>
        <v>-49954</v>
      </c>
      <c r="L155" s="7">
        <f t="shared" si="9"/>
        <v>-10017</v>
      </c>
      <c r="M155" s="8">
        <f t="shared" si="12"/>
        <v>-0.32720246282832255</v>
      </c>
      <c r="N155" s="8">
        <f t="shared" si="10"/>
        <v>-0.15276337461111456</v>
      </c>
      <c r="O155" s="7">
        <v>6675</v>
      </c>
      <c r="Q155" s="3"/>
      <c r="R155" s="3"/>
      <c r="S155" s="6"/>
      <c r="T155" s="7"/>
      <c r="U155" s="7"/>
      <c r="V155" s="7"/>
      <c r="W155" s="7"/>
      <c r="X155" s="7"/>
      <c r="Y155" s="7"/>
      <c r="Z155" s="7"/>
      <c r="AA155" s="7"/>
      <c r="AB155" s="7"/>
      <c r="AC155" s="7"/>
      <c r="AD155" s="7"/>
      <c r="AE155" s="8"/>
      <c r="AF155" s="8"/>
      <c r="AG155" s="6"/>
    </row>
    <row r="156" spans="1:33" ht="19.7" customHeight="1" x14ac:dyDescent="0.25">
      <c r="A156" s="6">
        <f t="shared" si="14"/>
        <v>40929</v>
      </c>
      <c r="B156" s="7">
        <f t="shared" si="13"/>
        <v>100736</v>
      </c>
      <c r="C156" s="7">
        <v>54782</v>
      </c>
      <c r="D156" s="7">
        <v>681</v>
      </c>
      <c r="E156" s="7">
        <v>534</v>
      </c>
      <c r="F156" s="7">
        <v>20570</v>
      </c>
      <c r="G156" s="7">
        <v>9353</v>
      </c>
      <c r="H156" s="7">
        <v>9487</v>
      </c>
      <c r="I156" s="7">
        <v>5253</v>
      </c>
      <c r="J156" s="7">
        <v>76</v>
      </c>
      <c r="K156" s="7">
        <f t="shared" si="11"/>
        <v>-50373</v>
      </c>
      <c r="L156" s="7">
        <f t="shared" si="9"/>
        <v>-10381</v>
      </c>
      <c r="M156" s="8">
        <f t="shared" si="12"/>
        <v>-0.33335539246504176</v>
      </c>
      <c r="N156" s="8">
        <f t="shared" si="10"/>
        <v>-0.1593081963691052</v>
      </c>
      <c r="O156" s="7">
        <v>5604</v>
      </c>
      <c r="Q156" s="3"/>
      <c r="R156" s="3"/>
      <c r="S156" s="6"/>
      <c r="T156" s="7"/>
      <c r="U156" s="7"/>
      <c r="V156" s="7"/>
      <c r="W156" s="7"/>
      <c r="X156" s="7"/>
      <c r="Y156" s="7"/>
      <c r="Z156" s="7"/>
      <c r="AA156" s="7"/>
      <c r="AB156" s="7"/>
      <c r="AC156" s="7"/>
      <c r="AD156" s="7"/>
      <c r="AE156" s="8"/>
      <c r="AF156" s="8"/>
      <c r="AG156" s="6"/>
    </row>
    <row r="157" spans="1:33" ht="19.7" customHeight="1" x14ac:dyDescent="0.25">
      <c r="A157" s="6">
        <f t="shared" si="14"/>
        <v>40936</v>
      </c>
      <c r="B157" s="7">
        <f t="shared" si="13"/>
        <v>101233</v>
      </c>
      <c r="C157" s="7">
        <v>55190</v>
      </c>
      <c r="D157" s="7">
        <v>691</v>
      </c>
      <c r="E157" s="7">
        <v>521</v>
      </c>
      <c r="F157" s="7">
        <v>20806</v>
      </c>
      <c r="G157" s="7">
        <v>9328</v>
      </c>
      <c r="H157" s="7">
        <v>9379</v>
      </c>
      <c r="I157" s="7">
        <v>5228</v>
      </c>
      <c r="J157" s="7">
        <v>90</v>
      </c>
      <c r="K157" s="7">
        <f t="shared" si="11"/>
        <v>-49861</v>
      </c>
      <c r="L157" s="7">
        <f t="shared" si="9"/>
        <v>-10752</v>
      </c>
      <c r="M157" s="8">
        <f t="shared" si="12"/>
        <v>-0.32999986763207012</v>
      </c>
      <c r="N157" s="8">
        <f t="shared" si="10"/>
        <v>-0.16305237936368322</v>
      </c>
      <c r="O157" s="7">
        <v>5432</v>
      </c>
      <c r="Q157" s="3"/>
      <c r="R157" s="3"/>
      <c r="S157" s="6"/>
      <c r="T157" s="7"/>
      <c r="U157" s="7"/>
      <c r="V157" s="7"/>
      <c r="W157" s="7"/>
      <c r="X157" s="7"/>
      <c r="Y157" s="7"/>
      <c r="Z157" s="7"/>
      <c r="AA157" s="7"/>
      <c r="AB157" s="7"/>
      <c r="AC157" s="7"/>
      <c r="AD157" s="7"/>
      <c r="AE157" s="8"/>
      <c r="AF157" s="8"/>
      <c r="AG157" s="6"/>
    </row>
    <row r="158" spans="1:33" ht="19.7" customHeight="1" x14ac:dyDescent="0.25">
      <c r="A158" s="6">
        <f t="shared" si="14"/>
        <v>40943</v>
      </c>
      <c r="B158" s="7">
        <f t="shared" si="13"/>
        <v>100184</v>
      </c>
      <c r="C158" s="7">
        <v>54400</v>
      </c>
      <c r="D158" s="7">
        <v>696</v>
      </c>
      <c r="E158" s="7">
        <v>522</v>
      </c>
      <c r="F158" s="7">
        <v>20876</v>
      </c>
      <c r="G158" s="7">
        <v>9265</v>
      </c>
      <c r="H158" s="7">
        <v>9115</v>
      </c>
      <c r="I158" s="7">
        <v>5207</v>
      </c>
      <c r="J158" s="7">
        <v>103</v>
      </c>
      <c r="K158" s="7">
        <f t="shared" si="11"/>
        <v>-48979</v>
      </c>
      <c r="L158" s="7">
        <f t="shared" si="9"/>
        <v>-10163</v>
      </c>
      <c r="M158" s="8">
        <f t="shared" si="12"/>
        <v>-0.32835890938101275</v>
      </c>
      <c r="N158" s="8">
        <f t="shared" si="10"/>
        <v>-0.15741214008023174</v>
      </c>
      <c r="O158" s="7">
        <v>5325</v>
      </c>
      <c r="Q158" s="3"/>
      <c r="R158" s="3"/>
      <c r="S158" s="6"/>
      <c r="T158" s="7"/>
      <c r="U158" s="7"/>
      <c r="V158" s="7"/>
      <c r="W158" s="7"/>
      <c r="X158" s="7"/>
      <c r="Y158" s="7"/>
      <c r="Z158" s="7"/>
      <c r="AA158" s="7"/>
      <c r="AB158" s="7"/>
      <c r="AC158" s="7"/>
      <c r="AD158" s="7"/>
      <c r="AE158" s="8"/>
      <c r="AF158" s="8"/>
      <c r="AG158" s="6"/>
    </row>
    <row r="159" spans="1:33" ht="19.7" customHeight="1" x14ac:dyDescent="0.25">
      <c r="A159" s="6">
        <f t="shared" si="14"/>
        <v>40950</v>
      </c>
      <c r="B159" s="7">
        <f t="shared" si="13"/>
        <v>99655</v>
      </c>
      <c r="C159" s="7">
        <v>54056</v>
      </c>
      <c r="D159" s="7">
        <v>708</v>
      </c>
      <c r="E159" s="7">
        <v>496</v>
      </c>
      <c r="F159" s="7">
        <v>20765</v>
      </c>
      <c r="G159" s="7">
        <v>9274</v>
      </c>
      <c r="H159" s="7">
        <v>9047</v>
      </c>
      <c r="I159" s="7">
        <v>5214</v>
      </c>
      <c r="J159" s="7">
        <v>95</v>
      </c>
      <c r="K159" s="7">
        <f t="shared" si="11"/>
        <v>-48289</v>
      </c>
      <c r="L159" s="7">
        <f t="shared" si="9"/>
        <v>-10367</v>
      </c>
      <c r="M159" s="8">
        <f t="shared" si="12"/>
        <v>-0.32640052993024382</v>
      </c>
      <c r="N159" s="8">
        <f t="shared" si="10"/>
        <v>-0.1609207891591512</v>
      </c>
      <c r="O159" s="7">
        <v>4991</v>
      </c>
      <c r="Q159" s="3"/>
      <c r="R159" s="3"/>
      <c r="S159" s="6"/>
      <c r="T159" s="7"/>
      <c r="U159" s="7"/>
      <c r="V159" s="7"/>
      <c r="W159" s="7"/>
      <c r="X159" s="7"/>
      <c r="Y159" s="7"/>
      <c r="Z159" s="7"/>
      <c r="AA159" s="7"/>
      <c r="AB159" s="7"/>
      <c r="AC159" s="7"/>
      <c r="AD159" s="7"/>
      <c r="AE159" s="8"/>
      <c r="AF159" s="8"/>
      <c r="AG159" s="6"/>
    </row>
    <row r="160" spans="1:33" ht="19.7" customHeight="1" x14ac:dyDescent="0.25">
      <c r="A160" s="6">
        <f t="shared" si="14"/>
        <v>40957</v>
      </c>
      <c r="B160" s="7">
        <f t="shared" si="13"/>
        <v>99652</v>
      </c>
      <c r="C160" s="7">
        <v>53845</v>
      </c>
      <c r="D160" s="7">
        <v>688</v>
      </c>
      <c r="E160" s="7">
        <v>488</v>
      </c>
      <c r="F160" s="7">
        <v>21091</v>
      </c>
      <c r="G160" s="7">
        <v>9339</v>
      </c>
      <c r="H160" s="7">
        <v>8839</v>
      </c>
      <c r="I160" s="7">
        <v>5245</v>
      </c>
      <c r="J160" s="7">
        <v>117</v>
      </c>
      <c r="K160" s="7">
        <f t="shared" si="11"/>
        <v>-47763</v>
      </c>
      <c r="L160" s="7">
        <f t="shared" si="9"/>
        <v>-10007</v>
      </c>
      <c r="M160" s="8">
        <f t="shared" si="12"/>
        <v>-0.32400366312790418</v>
      </c>
      <c r="N160" s="8">
        <f t="shared" si="10"/>
        <v>-0.15672179414896947</v>
      </c>
      <c r="O160" s="7">
        <v>4880</v>
      </c>
      <c r="Q160" s="3"/>
      <c r="R160" s="3"/>
      <c r="S160" s="6"/>
      <c r="T160" s="7"/>
      <c r="U160" s="7"/>
      <c r="V160" s="7"/>
      <c r="W160" s="7"/>
      <c r="X160" s="7"/>
      <c r="Y160" s="7"/>
      <c r="Z160" s="7"/>
      <c r="AA160" s="7"/>
      <c r="AB160" s="7"/>
      <c r="AC160" s="7"/>
      <c r="AD160" s="7"/>
      <c r="AE160" s="8"/>
      <c r="AF160" s="8"/>
      <c r="AG160" s="6"/>
    </row>
    <row r="161" spans="1:33" ht="19.7" customHeight="1" x14ac:dyDescent="0.25">
      <c r="A161" s="6">
        <f t="shared" si="14"/>
        <v>40964</v>
      </c>
      <c r="B161" s="7">
        <f t="shared" si="13"/>
        <v>98111</v>
      </c>
      <c r="C161" s="7">
        <v>52979</v>
      </c>
      <c r="D161" s="7">
        <v>635</v>
      </c>
      <c r="E161" s="7">
        <v>508</v>
      </c>
      <c r="F161" s="7">
        <v>20727</v>
      </c>
      <c r="G161" s="7">
        <v>9363</v>
      </c>
      <c r="H161" s="7">
        <v>8655</v>
      </c>
      <c r="I161" s="7">
        <v>5133</v>
      </c>
      <c r="J161" s="7">
        <v>111</v>
      </c>
      <c r="K161" s="7">
        <f t="shared" si="11"/>
        <v>-45805</v>
      </c>
      <c r="L161" s="7">
        <f t="shared" si="9"/>
        <v>-8612</v>
      </c>
      <c r="M161" s="8">
        <f t="shared" si="12"/>
        <v>-0.31827593874204396</v>
      </c>
      <c r="N161" s="8">
        <f t="shared" si="10"/>
        <v>-0.13982562387361785</v>
      </c>
      <c r="O161" s="7">
        <v>4339</v>
      </c>
      <c r="Q161" s="3"/>
      <c r="R161" s="3"/>
      <c r="S161" s="6"/>
      <c r="T161" s="7"/>
      <c r="U161" s="7"/>
      <c r="V161" s="7"/>
      <c r="W161" s="7"/>
      <c r="X161" s="7"/>
      <c r="Y161" s="7"/>
      <c r="Z161" s="7"/>
      <c r="AA161" s="7"/>
      <c r="AB161" s="7"/>
      <c r="AC161" s="7"/>
      <c r="AD161" s="7"/>
      <c r="AE161" s="8"/>
      <c r="AF161" s="8"/>
      <c r="AG161" s="6"/>
    </row>
    <row r="162" spans="1:33" ht="19.7" customHeight="1" x14ac:dyDescent="0.25">
      <c r="A162" s="6">
        <f t="shared" si="14"/>
        <v>40971</v>
      </c>
      <c r="B162" s="7">
        <f t="shared" si="13"/>
        <v>97760</v>
      </c>
      <c r="C162" s="7">
        <v>52302</v>
      </c>
      <c r="D162" s="7">
        <v>656</v>
      </c>
      <c r="E162" s="7">
        <v>495</v>
      </c>
      <c r="F162" s="7">
        <v>20982</v>
      </c>
      <c r="G162" s="7">
        <v>9393</v>
      </c>
      <c r="H162" s="7">
        <v>8670</v>
      </c>
      <c r="I162" s="7">
        <v>5123</v>
      </c>
      <c r="J162" s="7">
        <v>139</v>
      </c>
      <c r="K162" s="7">
        <f t="shared" si="11"/>
        <v>-47037</v>
      </c>
      <c r="L162" s="7">
        <f t="shared" si="9"/>
        <v>-9763</v>
      </c>
      <c r="M162" s="8">
        <f t="shared" si="12"/>
        <v>-0.32484789049496887</v>
      </c>
      <c r="N162" s="8">
        <f t="shared" si="10"/>
        <v>-0.1573028276806574</v>
      </c>
      <c r="O162" s="7">
        <v>4943</v>
      </c>
      <c r="Q162" s="3"/>
      <c r="R162" s="3"/>
      <c r="S162" s="6"/>
      <c r="T162" s="7"/>
      <c r="U162" s="7"/>
      <c r="V162" s="7"/>
      <c r="W162" s="7"/>
      <c r="X162" s="7"/>
      <c r="Y162" s="7"/>
      <c r="Z162" s="7"/>
      <c r="AA162" s="7"/>
      <c r="AB162" s="7"/>
      <c r="AC162" s="7"/>
      <c r="AD162" s="7"/>
      <c r="AE162" s="8"/>
      <c r="AF162" s="8"/>
      <c r="AG162" s="6"/>
    </row>
    <row r="163" spans="1:33" ht="19.7" customHeight="1" x14ac:dyDescent="0.25">
      <c r="A163" s="6">
        <f t="shared" si="14"/>
        <v>40978</v>
      </c>
      <c r="B163" s="7">
        <f t="shared" si="13"/>
        <v>97138</v>
      </c>
      <c r="C163" s="7">
        <v>51923</v>
      </c>
      <c r="D163" s="7">
        <v>610</v>
      </c>
      <c r="E163" s="7">
        <v>493</v>
      </c>
      <c r="F163" s="7">
        <v>20970</v>
      </c>
      <c r="G163" s="7">
        <v>9346</v>
      </c>
      <c r="H163" s="7">
        <v>8673</v>
      </c>
      <c r="I163" s="7">
        <v>4988</v>
      </c>
      <c r="J163" s="7">
        <v>135</v>
      </c>
      <c r="K163" s="7">
        <f t="shared" si="11"/>
        <v>-45787</v>
      </c>
      <c r="L163" s="7">
        <f t="shared" si="9"/>
        <v>-9184</v>
      </c>
      <c r="M163" s="8">
        <f t="shared" si="12"/>
        <v>-0.32035683050550989</v>
      </c>
      <c r="N163" s="8">
        <f t="shared" si="10"/>
        <v>-0.15029374703389142</v>
      </c>
      <c r="O163" s="7">
        <v>4662</v>
      </c>
      <c r="Q163" s="3"/>
      <c r="R163" s="3"/>
      <c r="S163" s="6"/>
      <c r="T163" s="7"/>
      <c r="U163" s="7"/>
      <c r="V163" s="7"/>
      <c r="W163" s="7"/>
      <c r="X163" s="7"/>
      <c r="Y163" s="7"/>
      <c r="Z163" s="7"/>
      <c r="AA163" s="7"/>
      <c r="AB163" s="7"/>
      <c r="AC163" s="7"/>
      <c r="AD163" s="7"/>
      <c r="AE163" s="8"/>
      <c r="AF163" s="8"/>
      <c r="AG163" s="6"/>
    </row>
    <row r="164" spans="1:33" ht="19.7" customHeight="1" x14ac:dyDescent="0.25">
      <c r="A164" s="6">
        <f t="shared" si="14"/>
        <v>40985</v>
      </c>
      <c r="B164" s="7">
        <f t="shared" si="13"/>
        <v>97130</v>
      </c>
      <c r="C164" s="7">
        <v>51182</v>
      </c>
      <c r="D164" s="7">
        <v>598</v>
      </c>
      <c r="E164" s="7">
        <v>529</v>
      </c>
      <c r="F164" s="7">
        <v>21086</v>
      </c>
      <c r="G164" s="7">
        <v>9233</v>
      </c>
      <c r="H164" s="7">
        <v>8695</v>
      </c>
      <c r="I164" s="7">
        <v>5704</v>
      </c>
      <c r="J164" s="7">
        <v>103</v>
      </c>
      <c r="K164" s="7">
        <f t="shared" si="11"/>
        <v>-45223</v>
      </c>
      <c r="L164" s="7">
        <f t="shared" si="9"/>
        <v>-9436</v>
      </c>
      <c r="M164" s="8">
        <f t="shared" si="12"/>
        <v>-0.31768210013136355</v>
      </c>
      <c r="N164" s="8">
        <f t="shared" si="10"/>
        <v>-0.15566333432313839</v>
      </c>
      <c r="O164" s="7">
        <v>4511</v>
      </c>
      <c r="Q164" s="3"/>
      <c r="R164" s="3"/>
      <c r="S164" s="6"/>
      <c r="T164" s="7"/>
      <c r="U164" s="7"/>
      <c r="V164" s="7"/>
      <c r="W164" s="7"/>
      <c r="X164" s="7"/>
      <c r="Y164" s="7"/>
      <c r="Z164" s="7"/>
      <c r="AA164" s="7"/>
      <c r="AB164" s="7"/>
      <c r="AC164" s="7"/>
      <c r="AD164" s="7"/>
      <c r="AE164" s="8"/>
      <c r="AF164" s="8"/>
      <c r="AG164" s="6"/>
    </row>
    <row r="165" spans="1:33" ht="19.7" customHeight="1" x14ac:dyDescent="0.25">
      <c r="A165" s="6">
        <f t="shared" si="14"/>
        <v>40992</v>
      </c>
      <c r="B165" s="7">
        <f t="shared" si="13"/>
        <v>97335</v>
      </c>
      <c r="C165" s="7">
        <v>50687</v>
      </c>
      <c r="D165" s="7">
        <v>584</v>
      </c>
      <c r="E165" s="7">
        <v>548</v>
      </c>
      <c r="F165" s="7">
        <v>20915</v>
      </c>
      <c r="G165" s="7">
        <v>9144</v>
      </c>
      <c r="H165" s="7">
        <v>8715</v>
      </c>
      <c r="I165" s="7">
        <v>6652</v>
      </c>
      <c r="J165" s="7">
        <v>90</v>
      </c>
      <c r="K165" s="7">
        <f t="shared" si="11"/>
        <v>-44480</v>
      </c>
      <c r="L165" s="7">
        <f t="shared" si="9"/>
        <v>-9852</v>
      </c>
      <c r="M165" s="8">
        <f t="shared" si="12"/>
        <v>-0.31364806261678946</v>
      </c>
      <c r="N165" s="8">
        <f t="shared" si="10"/>
        <v>-0.16273806967409443</v>
      </c>
      <c r="O165" s="7">
        <v>4826</v>
      </c>
      <c r="Q165" s="3"/>
      <c r="R165" s="3"/>
      <c r="S165" s="6"/>
      <c r="T165" s="7"/>
      <c r="U165" s="7"/>
      <c r="V165" s="7"/>
      <c r="W165" s="7"/>
      <c r="X165" s="7"/>
      <c r="Y165" s="7"/>
      <c r="Z165" s="7"/>
      <c r="AA165" s="7"/>
      <c r="AB165" s="7"/>
      <c r="AC165" s="7"/>
      <c r="AD165" s="7"/>
      <c r="AE165" s="8"/>
      <c r="AF165" s="8"/>
      <c r="AG165" s="6"/>
    </row>
    <row r="166" spans="1:33" ht="19.7" customHeight="1" x14ac:dyDescent="0.25">
      <c r="A166" s="6">
        <f t="shared" si="14"/>
        <v>40999</v>
      </c>
      <c r="B166" s="7">
        <f t="shared" si="13"/>
        <v>97706</v>
      </c>
      <c r="C166" s="7">
        <v>50429</v>
      </c>
      <c r="D166" s="7">
        <v>563</v>
      </c>
      <c r="E166" s="7">
        <v>506</v>
      </c>
      <c r="F166" s="7">
        <v>20889</v>
      </c>
      <c r="G166" s="7">
        <v>9094</v>
      </c>
      <c r="H166" s="7">
        <v>8666</v>
      </c>
      <c r="I166" s="7">
        <v>7465</v>
      </c>
      <c r="J166" s="7">
        <v>94</v>
      </c>
      <c r="K166" s="7">
        <f t="shared" si="11"/>
        <v>-42827</v>
      </c>
      <c r="L166" s="7">
        <f t="shared" si="9"/>
        <v>-9308</v>
      </c>
      <c r="M166" s="8">
        <f t="shared" si="12"/>
        <v>-0.30474692776785528</v>
      </c>
      <c r="N166" s="8">
        <f t="shared" si="10"/>
        <v>-0.15581632823878</v>
      </c>
      <c r="O166" s="7">
        <v>4771</v>
      </c>
      <c r="Q166" s="3"/>
      <c r="R166" s="3"/>
      <c r="S166" s="6"/>
      <c r="T166" s="7"/>
      <c r="U166" s="7"/>
      <c r="V166" s="7"/>
      <c r="W166" s="7"/>
      <c r="X166" s="7"/>
      <c r="Y166" s="7"/>
      <c r="Z166" s="7"/>
      <c r="AA166" s="7"/>
      <c r="AB166" s="7"/>
      <c r="AC166" s="7"/>
      <c r="AD166" s="7"/>
      <c r="AE166" s="8"/>
      <c r="AF166" s="8"/>
      <c r="AG166" s="6"/>
    </row>
    <row r="167" spans="1:33" ht="19.7" customHeight="1" x14ac:dyDescent="0.25">
      <c r="A167" s="6">
        <f t="shared" si="14"/>
        <v>41006</v>
      </c>
      <c r="B167" s="7">
        <f t="shared" si="13"/>
        <v>97229</v>
      </c>
      <c r="C167" s="7">
        <v>49588</v>
      </c>
      <c r="D167" s="7">
        <v>496</v>
      </c>
      <c r="E167" s="7">
        <v>545</v>
      </c>
      <c r="F167" s="7">
        <v>20725</v>
      </c>
      <c r="G167" s="7">
        <v>8987</v>
      </c>
      <c r="H167" s="7">
        <v>8630</v>
      </c>
      <c r="I167" s="7">
        <v>8174</v>
      </c>
      <c r="J167" s="7">
        <v>84</v>
      </c>
      <c r="K167" s="7">
        <f t="shared" si="11"/>
        <v>-41153</v>
      </c>
      <c r="L167" s="7">
        <f t="shared" si="9"/>
        <v>-9630</v>
      </c>
      <c r="M167" s="8">
        <f t="shared" si="12"/>
        <v>-0.29738694338859095</v>
      </c>
      <c r="N167" s="8">
        <f t="shared" si="10"/>
        <v>-0.16261947380863928</v>
      </c>
      <c r="O167" s="7">
        <v>7805</v>
      </c>
      <c r="Q167" s="3"/>
      <c r="R167" s="3"/>
      <c r="S167" s="6"/>
      <c r="T167" s="7"/>
      <c r="U167" s="7"/>
      <c r="V167" s="7"/>
      <c r="W167" s="7"/>
      <c r="X167" s="7"/>
      <c r="Y167" s="7"/>
      <c r="Z167" s="7"/>
      <c r="AA167" s="7"/>
      <c r="AB167" s="7"/>
      <c r="AC167" s="7"/>
      <c r="AD167" s="7"/>
      <c r="AE167" s="8"/>
      <c r="AF167" s="8"/>
      <c r="AG167" s="6"/>
    </row>
    <row r="168" spans="1:33" ht="19.7" customHeight="1" x14ac:dyDescent="0.25">
      <c r="A168" s="6">
        <f t="shared" si="14"/>
        <v>41013</v>
      </c>
      <c r="B168" s="7">
        <f t="shared" si="13"/>
        <v>100273</v>
      </c>
      <c r="C168" s="7">
        <v>52173</v>
      </c>
      <c r="D168" s="7">
        <v>487</v>
      </c>
      <c r="E168" s="7">
        <v>529</v>
      </c>
      <c r="F168" s="7">
        <v>20519</v>
      </c>
      <c r="G168" s="7">
        <v>9094</v>
      </c>
      <c r="H168" s="7">
        <v>8644</v>
      </c>
      <c r="I168" s="7">
        <v>8748</v>
      </c>
      <c r="J168" s="7">
        <v>79</v>
      </c>
      <c r="K168" s="7">
        <f t="shared" si="11"/>
        <v>-40303</v>
      </c>
      <c r="L168" s="7">
        <f t="shared" si="9"/>
        <v>-9624</v>
      </c>
      <c r="M168" s="8">
        <f t="shared" si="12"/>
        <v>-0.28669900978829954</v>
      </c>
      <c r="N168" s="8">
        <f t="shared" si="10"/>
        <v>-0.15573571532598673</v>
      </c>
      <c r="O168" s="7">
        <v>7080</v>
      </c>
      <c r="Q168" s="3"/>
      <c r="R168" s="3"/>
      <c r="S168" s="6"/>
      <c r="T168" s="7"/>
      <c r="U168" s="7"/>
      <c r="V168" s="7"/>
      <c r="W168" s="7"/>
      <c r="X168" s="7"/>
      <c r="Y168" s="7"/>
      <c r="Z168" s="7"/>
      <c r="AA168" s="7"/>
      <c r="AB168" s="7"/>
      <c r="AC168" s="7"/>
      <c r="AD168" s="7"/>
      <c r="AE168" s="8"/>
      <c r="AF168" s="8"/>
      <c r="AG168" s="6"/>
    </row>
    <row r="169" spans="1:33" ht="19.7" customHeight="1" x14ac:dyDescent="0.25">
      <c r="A169" s="6">
        <f t="shared" si="14"/>
        <v>41020</v>
      </c>
      <c r="B169" s="7">
        <f t="shared" si="13"/>
        <v>103041</v>
      </c>
      <c r="C169" s="7">
        <v>54200</v>
      </c>
      <c r="D169" s="7">
        <v>426</v>
      </c>
      <c r="E169" s="7">
        <v>556</v>
      </c>
      <c r="F169" s="7">
        <v>20668</v>
      </c>
      <c r="G169" s="7">
        <v>9088</v>
      </c>
      <c r="H169" s="7">
        <v>8636</v>
      </c>
      <c r="I169" s="7">
        <v>9407</v>
      </c>
      <c r="J169" s="7">
        <v>60</v>
      </c>
      <c r="K169" s="7">
        <f t="shared" si="11"/>
        <v>-39230</v>
      </c>
      <c r="L169" s="7">
        <f t="shared" si="9"/>
        <v>-9637</v>
      </c>
      <c r="M169" s="8">
        <f t="shared" si="12"/>
        <v>-0.27574136682809569</v>
      </c>
      <c r="N169" s="8">
        <f t="shared" si="10"/>
        <v>-0.15096260789197491</v>
      </c>
      <c r="O169" s="7">
        <v>6699</v>
      </c>
      <c r="Q169" s="3"/>
      <c r="R169" s="3"/>
      <c r="S169" s="6"/>
      <c r="T169" s="7"/>
      <c r="U169" s="7"/>
      <c r="V169" s="7"/>
      <c r="W169" s="7"/>
      <c r="X169" s="7"/>
      <c r="Y169" s="7"/>
      <c r="Z169" s="7"/>
      <c r="AA169" s="7"/>
      <c r="AB169" s="7"/>
      <c r="AC169" s="7"/>
      <c r="AD169" s="7"/>
      <c r="AE169" s="8"/>
      <c r="AF169" s="8"/>
      <c r="AG169" s="6"/>
    </row>
    <row r="170" spans="1:33" ht="19.7" customHeight="1" x14ac:dyDescent="0.25">
      <c r="A170" s="6">
        <f t="shared" si="14"/>
        <v>41027</v>
      </c>
      <c r="B170" s="7">
        <f t="shared" si="13"/>
        <v>104660</v>
      </c>
      <c r="C170" s="7">
        <v>55532</v>
      </c>
      <c r="D170" s="7">
        <v>359</v>
      </c>
      <c r="E170" s="7">
        <v>537</v>
      </c>
      <c r="F170" s="7">
        <v>20508</v>
      </c>
      <c r="G170" s="7">
        <v>9161</v>
      </c>
      <c r="H170" s="7">
        <v>8655</v>
      </c>
      <c r="I170" s="7">
        <v>9846</v>
      </c>
      <c r="J170" s="7">
        <v>62</v>
      </c>
      <c r="K170" s="7">
        <f t="shared" si="11"/>
        <v>-39123</v>
      </c>
      <c r="L170" s="7">
        <f t="shared" si="9"/>
        <v>-9463</v>
      </c>
      <c r="M170" s="8">
        <f t="shared" si="12"/>
        <v>-0.27209753587002639</v>
      </c>
      <c r="N170" s="8">
        <f t="shared" si="10"/>
        <v>-0.14559581506269714</v>
      </c>
      <c r="O170" s="7">
        <v>5530</v>
      </c>
      <c r="Q170" s="3"/>
      <c r="R170" s="3"/>
      <c r="S170" s="6"/>
      <c r="T170" s="7"/>
      <c r="U170" s="7"/>
      <c r="V170" s="7"/>
      <c r="W170" s="7"/>
      <c r="X170" s="7"/>
      <c r="Y170" s="7"/>
      <c r="Z170" s="7"/>
      <c r="AA170" s="7"/>
      <c r="AB170" s="7"/>
      <c r="AC170" s="7"/>
      <c r="AD170" s="7"/>
      <c r="AE170" s="8"/>
      <c r="AF170" s="8"/>
      <c r="AG170" s="6"/>
    </row>
    <row r="171" spans="1:33" ht="19.7" customHeight="1" x14ac:dyDescent="0.25">
      <c r="A171" s="6">
        <f t="shared" si="14"/>
        <v>41034</v>
      </c>
      <c r="B171" s="7">
        <f t="shared" si="13"/>
        <v>105752</v>
      </c>
      <c r="C171" s="7">
        <v>56236</v>
      </c>
      <c r="D171" s="7">
        <v>289</v>
      </c>
      <c r="E171" s="7">
        <v>574</v>
      </c>
      <c r="F171" s="7">
        <v>20448</v>
      </c>
      <c r="G171" s="7">
        <v>9285</v>
      </c>
      <c r="H171" s="7">
        <v>8569</v>
      </c>
      <c r="I171" s="7">
        <v>10310</v>
      </c>
      <c r="J171" s="7">
        <v>41</v>
      </c>
      <c r="K171" s="7">
        <f t="shared" si="11"/>
        <v>-37100</v>
      </c>
      <c r="L171" s="7">
        <f t="shared" si="9"/>
        <v>-8785</v>
      </c>
      <c r="M171" s="8">
        <f t="shared" si="12"/>
        <v>-0.25970934953658331</v>
      </c>
      <c r="N171" s="8">
        <f t="shared" si="10"/>
        <v>-0.13511019516771505</v>
      </c>
      <c r="O171" s="7">
        <v>5610</v>
      </c>
      <c r="Q171" s="3"/>
      <c r="R171" s="3"/>
      <c r="S171" s="6"/>
      <c r="T171" s="7"/>
      <c r="U171" s="7"/>
      <c r="V171" s="7"/>
      <c r="W171" s="7"/>
      <c r="X171" s="7"/>
      <c r="Y171" s="7"/>
      <c r="Z171" s="7"/>
      <c r="AA171" s="7"/>
      <c r="AB171" s="7"/>
      <c r="AC171" s="7"/>
      <c r="AD171" s="7"/>
      <c r="AE171" s="8"/>
      <c r="AF171" s="8"/>
      <c r="AG171" s="6"/>
    </row>
    <row r="172" spans="1:33" ht="19.7" customHeight="1" x14ac:dyDescent="0.25">
      <c r="A172" s="6">
        <f t="shared" si="14"/>
        <v>41041</v>
      </c>
      <c r="B172" s="7">
        <f t="shared" si="13"/>
        <v>105593</v>
      </c>
      <c r="C172" s="7">
        <v>56174</v>
      </c>
      <c r="D172" s="7">
        <v>283</v>
      </c>
      <c r="E172" s="7">
        <v>549</v>
      </c>
      <c r="F172" s="7">
        <v>19976</v>
      </c>
      <c r="G172" s="7">
        <v>9388</v>
      </c>
      <c r="H172" s="7">
        <v>8460</v>
      </c>
      <c r="I172" s="7">
        <v>10714</v>
      </c>
      <c r="J172" s="7">
        <v>49</v>
      </c>
      <c r="K172" s="7">
        <f t="shared" si="11"/>
        <v>-36103</v>
      </c>
      <c r="L172" s="7">
        <f t="shared" si="9"/>
        <v>-8775</v>
      </c>
      <c r="M172" s="8">
        <f t="shared" si="12"/>
        <v>-0.25479194896115631</v>
      </c>
      <c r="N172" s="8">
        <f t="shared" si="10"/>
        <v>-0.13510600625105851</v>
      </c>
      <c r="O172" s="7">
        <v>5276</v>
      </c>
      <c r="Q172" s="3"/>
      <c r="R172" s="3"/>
      <c r="S172" s="6"/>
      <c r="T172" s="7"/>
      <c r="U172" s="7"/>
      <c r="V172" s="7"/>
      <c r="W172" s="7"/>
      <c r="X172" s="7"/>
      <c r="Y172" s="7"/>
      <c r="Z172" s="7"/>
      <c r="AA172" s="7"/>
      <c r="AB172" s="7"/>
      <c r="AC172" s="7"/>
      <c r="AD172" s="7"/>
      <c r="AE172" s="8"/>
      <c r="AF172" s="8"/>
      <c r="AG172" s="6"/>
    </row>
    <row r="173" spans="1:33" ht="19.7" customHeight="1" x14ac:dyDescent="0.25">
      <c r="A173" s="6">
        <f t="shared" si="14"/>
        <v>41048</v>
      </c>
      <c r="B173" s="7">
        <f t="shared" si="13"/>
        <v>106129</v>
      </c>
      <c r="C173" s="7">
        <v>56639</v>
      </c>
      <c r="D173" s="7">
        <v>258</v>
      </c>
      <c r="E173" s="7">
        <v>575</v>
      </c>
      <c r="F173" s="7">
        <v>19935</v>
      </c>
      <c r="G173" s="7">
        <v>9349</v>
      </c>
      <c r="H173" s="7">
        <v>8409</v>
      </c>
      <c r="I173" s="7">
        <v>10925</v>
      </c>
      <c r="J173" s="7">
        <v>39</v>
      </c>
      <c r="K173" s="7">
        <f t="shared" si="11"/>
        <v>-35423</v>
      </c>
      <c r="L173" s="7">
        <f t="shared" si="9"/>
        <v>-8366</v>
      </c>
      <c r="M173" s="8">
        <f t="shared" si="12"/>
        <v>-0.25024725895783884</v>
      </c>
      <c r="N173" s="8">
        <f t="shared" si="10"/>
        <v>-0.12869779247750168</v>
      </c>
      <c r="O173" s="7">
        <v>5420</v>
      </c>
      <c r="Q173" s="3"/>
      <c r="R173" s="3"/>
      <c r="S173" s="6"/>
      <c r="T173" s="7"/>
      <c r="U173" s="7"/>
      <c r="V173" s="7"/>
      <c r="W173" s="7"/>
      <c r="X173" s="7"/>
      <c r="Y173" s="7"/>
      <c r="Z173" s="7"/>
      <c r="AA173" s="7"/>
      <c r="AB173" s="7"/>
      <c r="AC173" s="7"/>
      <c r="AD173" s="7"/>
      <c r="AE173" s="8"/>
      <c r="AF173" s="8"/>
      <c r="AG173" s="6"/>
    </row>
    <row r="174" spans="1:33" ht="19.7" customHeight="1" x14ac:dyDescent="0.25">
      <c r="A174" s="6">
        <f t="shared" si="14"/>
        <v>41055</v>
      </c>
      <c r="B174" s="7">
        <f t="shared" si="13"/>
        <v>105664</v>
      </c>
      <c r="C174" s="7">
        <v>56544</v>
      </c>
      <c r="D174" s="7">
        <v>253</v>
      </c>
      <c r="E174" s="7">
        <v>587</v>
      </c>
      <c r="F174" s="7">
        <v>19594</v>
      </c>
      <c r="G174" s="7">
        <v>9351</v>
      </c>
      <c r="H174" s="7">
        <v>8464</v>
      </c>
      <c r="I174" s="7">
        <v>10830</v>
      </c>
      <c r="J174" s="7">
        <v>41</v>
      </c>
      <c r="K174" s="7">
        <f t="shared" si="11"/>
        <v>-35380</v>
      </c>
      <c r="L174" s="7">
        <f t="shared" si="9"/>
        <v>-8393</v>
      </c>
      <c r="M174" s="8">
        <f t="shared" si="12"/>
        <v>-0.25084370834633163</v>
      </c>
      <c r="N174" s="8">
        <f t="shared" si="10"/>
        <v>-0.12924834839921773</v>
      </c>
      <c r="O174" s="7">
        <v>5962</v>
      </c>
      <c r="Q174" s="3"/>
      <c r="R174" s="3"/>
      <c r="S174" s="6"/>
      <c r="T174" s="7"/>
      <c r="U174" s="7"/>
      <c r="V174" s="7"/>
      <c r="W174" s="7"/>
      <c r="X174" s="7"/>
      <c r="Y174" s="7"/>
      <c r="Z174" s="7"/>
      <c r="AA174" s="7"/>
      <c r="AB174" s="7"/>
      <c r="AC174" s="7"/>
      <c r="AD174" s="7"/>
      <c r="AE174" s="8"/>
      <c r="AF174" s="8"/>
      <c r="AG174" s="6"/>
    </row>
    <row r="175" spans="1:33" ht="19.7" customHeight="1" x14ac:dyDescent="0.25">
      <c r="A175" s="6">
        <f t="shared" si="14"/>
        <v>41062</v>
      </c>
      <c r="B175" s="7">
        <f t="shared" si="13"/>
        <v>104502</v>
      </c>
      <c r="C175" s="7">
        <v>55978</v>
      </c>
      <c r="D175" s="7">
        <v>326</v>
      </c>
      <c r="E175" s="7">
        <v>574</v>
      </c>
      <c r="F175" s="7">
        <v>19424</v>
      </c>
      <c r="G175" s="7">
        <v>9294</v>
      </c>
      <c r="H175" s="7">
        <v>8405</v>
      </c>
      <c r="I175" s="7">
        <v>10464</v>
      </c>
      <c r="J175" s="7">
        <v>37</v>
      </c>
      <c r="K175" s="7">
        <f t="shared" si="11"/>
        <v>-35567</v>
      </c>
      <c r="L175" s="7">
        <f t="shared" si="9"/>
        <v>-9195</v>
      </c>
      <c r="M175" s="8">
        <f t="shared" si="12"/>
        <v>-0.25392485132327636</v>
      </c>
      <c r="N175" s="8">
        <f t="shared" si="10"/>
        <v>-0.14108603255949548</v>
      </c>
      <c r="O175" s="7">
        <v>6113</v>
      </c>
      <c r="Q175" s="3"/>
      <c r="R175" s="3"/>
      <c r="S175" s="6"/>
      <c r="T175" s="7"/>
      <c r="U175" s="7"/>
      <c r="V175" s="7"/>
      <c r="W175" s="7"/>
      <c r="X175" s="7"/>
      <c r="Y175" s="7"/>
      <c r="Z175" s="7"/>
      <c r="AA175" s="7"/>
      <c r="AB175" s="7"/>
      <c r="AC175" s="7"/>
      <c r="AD175" s="7"/>
      <c r="AE175" s="8"/>
      <c r="AF175" s="8"/>
      <c r="AG175" s="6"/>
    </row>
    <row r="176" spans="1:33" ht="19.7" customHeight="1" x14ac:dyDescent="0.25">
      <c r="A176" s="6">
        <f t="shared" si="14"/>
        <v>41069</v>
      </c>
      <c r="B176" s="7">
        <f t="shared" si="13"/>
        <v>106050</v>
      </c>
      <c r="C176" s="7">
        <v>57659</v>
      </c>
      <c r="D176" s="7">
        <v>461</v>
      </c>
      <c r="E176" s="7">
        <v>571</v>
      </c>
      <c r="F176" s="7">
        <v>19180</v>
      </c>
      <c r="G176" s="7">
        <v>9328</v>
      </c>
      <c r="H176" s="7">
        <v>8378</v>
      </c>
      <c r="I176" s="7">
        <v>10439</v>
      </c>
      <c r="J176" s="7">
        <v>34</v>
      </c>
      <c r="K176" s="7">
        <f t="shared" si="11"/>
        <v>-35826</v>
      </c>
      <c r="L176" s="7">
        <f t="shared" si="9"/>
        <v>-9522</v>
      </c>
      <c r="M176" s="8">
        <f t="shared" si="12"/>
        <v>-0.25251628182356423</v>
      </c>
      <c r="N176" s="8">
        <f t="shared" si="10"/>
        <v>-0.14173650288027861</v>
      </c>
      <c r="O176" s="7">
        <v>6253</v>
      </c>
      <c r="Q176" s="3"/>
      <c r="R176" s="3"/>
      <c r="S176" s="6"/>
      <c r="T176" s="7"/>
      <c r="U176" s="7"/>
      <c r="V176" s="7"/>
      <c r="W176" s="7"/>
      <c r="X176" s="7"/>
      <c r="Y176" s="7"/>
      <c r="Z176" s="7"/>
      <c r="AA176" s="7"/>
      <c r="AB176" s="7"/>
      <c r="AC176" s="7"/>
      <c r="AD176" s="7"/>
      <c r="AE176" s="8"/>
      <c r="AF176" s="8"/>
      <c r="AG176" s="6"/>
    </row>
    <row r="177" spans="1:33" ht="19.7" customHeight="1" x14ac:dyDescent="0.25">
      <c r="A177" s="6">
        <f t="shared" si="14"/>
        <v>41076</v>
      </c>
      <c r="B177" s="7">
        <f t="shared" si="13"/>
        <v>106710</v>
      </c>
      <c r="C177" s="7">
        <v>58592</v>
      </c>
      <c r="D177" s="7">
        <v>497</v>
      </c>
      <c r="E177" s="7">
        <v>586</v>
      </c>
      <c r="F177" s="7">
        <v>19066</v>
      </c>
      <c r="G177" s="7">
        <v>9279</v>
      </c>
      <c r="H177" s="7">
        <v>8263</v>
      </c>
      <c r="I177" s="7">
        <v>10392</v>
      </c>
      <c r="J177" s="7">
        <v>35</v>
      </c>
      <c r="K177" s="7">
        <f t="shared" si="11"/>
        <v>-34043</v>
      </c>
      <c r="L177" s="7">
        <f t="shared" si="9"/>
        <v>-8740</v>
      </c>
      <c r="M177" s="8">
        <f t="shared" si="12"/>
        <v>-0.24186340610857315</v>
      </c>
      <c r="N177" s="8">
        <f t="shared" si="10"/>
        <v>-0.12980455058516005</v>
      </c>
      <c r="O177" s="7">
        <v>5042</v>
      </c>
      <c r="Q177" s="3"/>
      <c r="R177" s="3"/>
      <c r="S177" s="6"/>
      <c r="T177" s="7"/>
      <c r="U177" s="7"/>
      <c r="V177" s="7"/>
      <c r="W177" s="7"/>
      <c r="X177" s="7"/>
      <c r="Y177" s="7"/>
      <c r="Z177" s="7"/>
      <c r="AA177" s="7"/>
      <c r="AB177" s="7"/>
      <c r="AC177" s="7"/>
      <c r="AD177" s="7"/>
      <c r="AE177" s="8"/>
      <c r="AF177" s="8"/>
      <c r="AG177" s="6"/>
    </row>
    <row r="178" spans="1:33" ht="19.7" customHeight="1" x14ac:dyDescent="0.25">
      <c r="A178" s="6">
        <f t="shared" si="14"/>
        <v>41083</v>
      </c>
      <c r="B178" s="7">
        <f t="shared" si="13"/>
        <v>106093</v>
      </c>
      <c r="C178" s="7">
        <v>58505</v>
      </c>
      <c r="D178" s="7">
        <v>497</v>
      </c>
      <c r="E178" s="7">
        <v>613</v>
      </c>
      <c r="F178" s="7">
        <v>18698</v>
      </c>
      <c r="G178" s="7">
        <v>9166</v>
      </c>
      <c r="H178" s="7">
        <v>8271</v>
      </c>
      <c r="I178" s="7">
        <v>10317</v>
      </c>
      <c r="J178" s="7">
        <v>26</v>
      </c>
      <c r="K178" s="7">
        <f t="shared" si="11"/>
        <v>-33192</v>
      </c>
      <c r="L178" s="7">
        <f t="shared" si="9"/>
        <v>-20252</v>
      </c>
      <c r="M178" s="8">
        <f t="shared" si="12"/>
        <v>-0.23830276052697708</v>
      </c>
      <c r="N178" s="8">
        <f t="shared" si="10"/>
        <v>-0.25714539659966729</v>
      </c>
      <c r="O178" s="7">
        <v>5495</v>
      </c>
      <c r="Q178" s="3"/>
      <c r="R178" s="3"/>
      <c r="S178" s="6"/>
      <c r="T178" s="7"/>
      <c r="U178" s="7"/>
      <c r="V178" s="7"/>
      <c r="W178" s="7"/>
      <c r="X178" s="7"/>
      <c r="Y178" s="7"/>
      <c r="Z178" s="7"/>
      <c r="AA178" s="7"/>
      <c r="AB178" s="7"/>
      <c r="AC178" s="7"/>
      <c r="AD178" s="7"/>
      <c r="AE178" s="8"/>
      <c r="AF178" s="8"/>
      <c r="AG178" s="6"/>
    </row>
    <row r="179" spans="1:33" ht="19.7" customHeight="1" x14ac:dyDescent="0.25">
      <c r="A179" s="6">
        <f t="shared" si="14"/>
        <v>41090</v>
      </c>
      <c r="B179" s="7">
        <f t="shared" si="13"/>
        <v>106522</v>
      </c>
      <c r="C179" s="7">
        <v>59013</v>
      </c>
      <c r="D179" s="7">
        <v>539</v>
      </c>
      <c r="E179" s="7">
        <v>588</v>
      </c>
      <c r="F179" s="7">
        <v>18788</v>
      </c>
      <c r="G179" s="7">
        <v>9127</v>
      </c>
      <c r="H179" s="7">
        <v>8214</v>
      </c>
      <c r="I179" s="7">
        <v>10231</v>
      </c>
      <c r="J179" s="7">
        <v>22</v>
      </c>
      <c r="K179" s="7">
        <f>IF(B179=0,"",B179-B127)</f>
        <v>-30027</v>
      </c>
      <c r="L179" s="7">
        <f t="shared" ref="L179:L242" si="15">IF(C179=0,"",C179-C127)</f>
        <v>-18171</v>
      </c>
      <c r="M179" s="8">
        <f t="shared" si="12"/>
        <v>-0.2198990838453595</v>
      </c>
      <c r="N179" s="8">
        <f t="shared" si="10"/>
        <v>-0.23542444029850751</v>
      </c>
      <c r="O179" s="7">
        <v>5541</v>
      </c>
      <c r="Q179" s="3"/>
      <c r="R179" s="3"/>
      <c r="S179" s="6"/>
      <c r="T179" s="7"/>
      <c r="U179" s="7"/>
      <c r="V179" s="7"/>
      <c r="W179" s="7"/>
      <c r="X179" s="7"/>
      <c r="Y179" s="7"/>
      <c r="Z179" s="7"/>
      <c r="AA179" s="7"/>
      <c r="AB179" s="7"/>
      <c r="AC179" s="7"/>
      <c r="AD179" s="7"/>
      <c r="AE179" s="8"/>
      <c r="AF179" s="8"/>
      <c r="AG179" s="6"/>
    </row>
    <row r="180" spans="1:33" ht="19.7" customHeight="1" x14ac:dyDescent="0.25">
      <c r="A180" s="6">
        <f t="shared" si="14"/>
        <v>41097</v>
      </c>
      <c r="B180" s="7">
        <f t="shared" si="13"/>
        <v>104176</v>
      </c>
      <c r="C180" s="7">
        <v>58017</v>
      </c>
      <c r="D180" s="7">
        <v>559</v>
      </c>
      <c r="E180" s="7">
        <v>591</v>
      </c>
      <c r="F180" s="7">
        <v>18108</v>
      </c>
      <c r="G180" s="7">
        <v>8955</v>
      </c>
      <c r="H180" s="7">
        <v>8639</v>
      </c>
      <c r="I180" s="7">
        <v>9286</v>
      </c>
      <c r="J180" s="7">
        <v>21</v>
      </c>
      <c r="K180" s="7">
        <f t="shared" ref="K180:K243" si="16">IF(B180=0,"",B180-B128)</f>
        <v>-29189</v>
      </c>
      <c r="L180" s="7">
        <f t="shared" si="15"/>
        <v>-17510</v>
      </c>
      <c r="M180" s="8">
        <f t="shared" si="12"/>
        <v>-0.21886551943913324</v>
      </c>
      <c r="N180" s="8">
        <f t="shared" si="10"/>
        <v>-0.23183762098322458</v>
      </c>
      <c r="O180" s="7">
        <v>7172</v>
      </c>
      <c r="Q180" s="3"/>
      <c r="R180" s="3"/>
      <c r="S180" s="6"/>
      <c r="T180" s="7"/>
      <c r="U180" s="7"/>
      <c r="V180" s="7"/>
      <c r="W180" s="7"/>
      <c r="X180" s="7"/>
      <c r="Y180" s="7"/>
      <c r="Z180" s="7"/>
      <c r="AA180" s="7"/>
      <c r="AB180" s="7"/>
      <c r="AC180" s="7"/>
      <c r="AD180" s="7"/>
      <c r="AE180" s="8"/>
      <c r="AF180" s="8"/>
      <c r="AG180" s="6"/>
    </row>
    <row r="181" spans="1:33" ht="19.7" customHeight="1" x14ac:dyDescent="0.25">
      <c r="A181" s="6">
        <f t="shared" si="14"/>
        <v>41104</v>
      </c>
      <c r="B181" s="7">
        <f t="shared" si="13"/>
        <v>106702</v>
      </c>
      <c r="C181" s="7">
        <v>62572</v>
      </c>
      <c r="D181" s="7">
        <v>586</v>
      </c>
      <c r="E181" s="7">
        <v>577</v>
      </c>
      <c r="F181" s="7">
        <v>17668</v>
      </c>
      <c r="G181" s="7">
        <v>8712</v>
      </c>
      <c r="H181" s="7">
        <v>8297</v>
      </c>
      <c r="I181" s="7">
        <v>8271</v>
      </c>
      <c r="J181" s="7">
        <v>19</v>
      </c>
      <c r="K181" s="7">
        <f t="shared" si="16"/>
        <v>-29869</v>
      </c>
      <c r="L181" s="7">
        <f t="shared" si="15"/>
        <v>-17259</v>
      </c>
      <c r="M181" s="8">
        <f t="shared" si="12"/>
        <v>-0.21870675326387012</v>
      </c>
      <c r="N181" s="8">
        <f t="shared" si="10"/>
        <v>-0.21619421026919372</v>
      </c>
      <c r="O181" s="7">
        <v>6483</v>
      </c>
      <c r="Q181" s="3"/>
      <c r="R181" s="3"/>
      <c r="S181" s="6"/>
      <c r="T181" s="7"/>
      <c r="U181" s="7"/>
      <c r="V181" s="7"/>
      <c r="W181" s="7"/>
      <c r="X181" s="7"/>
      <c r="Y181" s="7"/>
      <c r="Z181" s="7"/>
      <c r="AA181" s="7"/>
      <c r="AB181" s="7"/>
      <c r="AC181" s="7"/>
      <c r="AD181" s="7"/>
      <c r="AE181" s="8"/>
      <c r="AF181" s="8"/>
      <c r="AG181" s="6"/>
    </row>
    <row r="182" spans="1:33" ht="19.7" customHeight="1" x14ac:dyDescent="0.25">
      <c r="A182" s="6">
        <f t="shared" si="14"/>
        <v>41111</v>
      </c>
      <c r="B182" s="7">
        <f t="shared" si="13"/>
        <v>105968</v>
      </c>
      <c r="C182" s="7">
        <v>63182</v>
      </c>
      <c r="D182" s="7">
        <v>576</v>
      </c>
      <c r="E182" s="7">
        <v>585</v>
      </c>
      <c r="F182" s="7">
        <v>17561</v>
      </c>
      <c r="G182" s="7">
        <v>8547</v>
      </c>
      <c r="H182" s="7">
        <v>8171</v>
      </c>
      <c r="I182" s="7">
        <v>7337</v>
      </c>
      <c r="J182" s="7">
        <v>9</v>
      </c>
      <c r="K182" s="7">
        <f t="shared" si="16"/>
        <v>-29570</v>
      </c>
      <c r="L182" s="7">
        <f t="shared" si="15"/>
        <v>-16173</v>
      </c>
      <c r="M182" s="8">
        <f t="shared" si="12"/>
        <v>-0.2181675987545928</v>
      </c>
      <c r="N182" s="8">
        <f t="shared" si="10"/>
        <v>-0.20380568332178184</v>
      </c>
      <c r="O182" s="7">
        <v>5648</v>
      </c>
      <c r="Q182" s="3"/>
      <c r="R182" s="3"/>
      <c r="S182" s="6"/>
      <c r="T182" s="7"/>
      <c r="U182" s="7"/>
      <c r="V182" s="7"/>
      <c r="W182" s="7"/>
      <c r="X182" s="7"/>
      <c r="Y182" s="7"/>
      <c r="Z182" s="7"/>
      <c r="AA182" s="7"/>
      <c r="AB182" s="7"/>
      <c r="AC182" s="7"/>
      <c r="AD182" s="7"/>
      <c r="AE182" s="8"/>
      <c r="AF182" s="8"/>
      <c r="AG182" s="6"/>
    </row>
    <row r="183" spans="1:33" ht="19.7" customHeight="1" x14ac:dyDescent="0.25">
      <c r="A183" s="6">
        <f t="shared" si="14"/>
        <v>41118</v>
      </c>
      <c r="B183" s="7">
        <f t="shared" si="13"/>
        <v>104377</v>
      </c>
      <c r="C183" s="7">
        <v>62919</v>
      </c>
      <c r="D183" s="7">
        <v>578</v>
      </c>
      <c r="E183" s="7">
        <v>578</v>
      </c>
      <c r="F183" s="7">
        <v>17471</v>
      </c>
      <c r="G183" s="7">
        <v>8575</v>
      </c>
      <c r="H183" s="7">
        <v>8174</v>
      </c>
      <c r="I183" s="7">
        <v>6074</v>
      </c>
      <c r="J183" s="7">
        <v>8</v>
      </c>
      <c r="K183" s="7">
        <f t="shared" si="16"/>
        <v>-30358</v>
      </c>
      <c r="L183" s="7">
        <f t="shared" si="15"/>
        <v>-15726</v>
      </c>
      <c r="M183" s="8">
        <f t="shared" si="12"/>
        <v>-0.22531636174713321</v>
      </c>
      <c r="N183" s="8">
        <f t="shared" si="10"/>
        <v>-0.19996185390043864</v>
      </c>
      <c r="O183" s="7">
        <v>5227</v>
      </c>
      <c r="Q183" s="3"/>
      <c r="R183" s="3"/>
      <c r="S183" s="6"/>
      <c r="T183" s="7"/>
      <c r="U183" s="7"/>
      <c r="V183" s="7"/>
      <c r="W183" s="7"/>
      <c r="X183" s="7"/>
      <c r="Y183" s="7"/>
      <c r="Z183" s="7"/>
      <c r="AA183" s="7"/>
      <c r="AB183" s="7"/>
      <c r="AC183" s="7"/>
      <c r="AD183" s="7"/>
      <c r="AE183" s="8"/>
      <c r="AF183" s="8"/>
      <c r="AG183" s="6"/>
    </row>
    <row r="184" spans="1:33" ht="19.7" customHeight="1" x14ac:dyDescent="0.25">
      <c r="A184" s="6">
        <f t="shared" si="14"/>
        <v>41125</v>
      </c>
      <c r="B184" s="7">
        <f t="shared" si="13"/>
        <v>101756</v>
      </c>
      <c r="C184" s="7">
        <v>61921</v>
      </c>
      <c r="D184" s="7">
        <v>573</v>
      </c>
      <c r="E184" s="7">
        <v>579</v>
      </c>
      <c r="F184" s="7">
        <v>17264</v>
      </c>
      <c r="G184" s="7">
        <v>8475</v>
      </c>
      <c r="H184" s="7">
        <v>8122</v>
      </c>
      <c r="I184" s="7">
        <v>4813</v>
      </c>
      <c r="J184" s="7">
        <v>9</v>
      </c>
      <c r="K184" s="7">
        <f t="shared" si="16"/>
        <v>-31172</v>
      </c>
      <c r="L184" s="7">
        <f t="shared" si="15"/>
        <v>-15032</v>
      </c>
      <c r="M184" s="8">
        <f t="shared" si="12"/>
        <v>-0.23450288878189696</v>
      </c>
      <c r="N184" s="8">
        <f t="shared" ref="N184:N247" si="17">IF(L184="","",C184/C132-1)</f>
        <v>-0.19534001273504609</v>
      </c>
      <c r="O184" s="7">
        <v>5293</v>
      </c>
      <c r="Q184" s="3"/>
      <c r="R184" s="3"/>
      <c r="S184" s="6"/>
      <c r="T184" s="7"/>
      <c r="U184" s="7"/>
      <c r="V184" s="7"/>
      <c r="W184" s="7"/>
      <c r="X184" s="7"/>
      <c r="Y184" s="7"/>
      <c r="Z184" s="7"/>
      <c r="AA184" s="7"/>
      <c r="AB184" s="7"/>
      <c r="AC184" s="7"/>
      <c r="AD184" s="7"/>
      <c r="AE184" s="8"/>
      <c r="AF184" s="8"/>
      <c r="AG184" s="6"/>
    </row>
    <row r="185" spans="1:33" ht="19.7" customHeight="1" x14ac:dyDescent="0.25">
      <c r="A185" s="6">
        <f t="shared" si="14"/>
        <v>41132</v>
      </c>
      <c r="B185" s="7">
        <f t="shared" si="13"/>
        <v>98781</v>
      </c>
      <c r="C185" s="7">
        <v>60069</v>
      </c>
      <c r="D185" s="7">
        <v>445</v>
      </c>
      <c r="E185" s="7">
        <v>559</v>
      </c>
      <c r="F185" s="7">
        <v>17357</v>
      </c>
      <c r="G185" s="7">
        <v>8365</v>
      </c>
      <c r="H185" s="7">
        <v>8241</v>
      </c>
      <c r="I185" s="7">
        <v>3736</v>
      </c>
      <c r="J185" s="7">
        <v>9</v>
      </c>
      <c r="K185" s="7">
        <f t="shared" si="16"/>
        <v>-28017</v>
      </c>
      <c r="L185" s="7">
        <f t="shared" si="15"/>
        <v>-10922</v>
      </c>
      <c r="M185" s="8">
        <f t="shared" ref="M185:M248" si="18">IF(K185="","",B185/B133-1)</f>
        <v>-0.22095774381299393</v>
      </c>
      <c r="N185" s="8">
        <f t="shared" si="17"/>
        <v>-0.15385048809003954</v>
      </c>
      <c r="O185" s="7">
        <v>5147</v>
      </c>
      <c r="Q185" s="3"/>
      <c r="R185" s="3"/>
      <c r="S185" s="6"/>
      <c r="T185" s="7"/>
      <c r="U185" s="7"/>
      <c r="V185" s="7"/>
      <c r="W185" s="7"/>
      <c r="X185" s="7"/>
      <c r="Y185" s="7"/>
      <c r="Z185" s="7"/>
      <c r="AA185" s="7"/>
      <c r="AB185" s="7"/>
      <c r="AC185" s="7"/>
      <c r="AD185" s="7"/>
      <c r="AE185" s="8"/>
      <c r="AF185" s="8"/>
      <c r="AG185" s="6"/>
    </row>
    <row r="186" spans="1:33" ht="19.7" customHeight="1" x14ac:dyDescent="0.25">
      <c r="A186" s="6">
        <f t="shared" si="14"/>
        <v>41139</v>
      </c>
      <c r="B186" s="7">
        <f t="shared" si="13"/>
        <v>81232</v>
      </c>
      <c r="C186" s="7">
        <v>50686</v>
      </c>
      <c r="D186" s="7">
        <v>282</v>
      </c>
      <c r="E186" s="7">
        <v>517</v>
      </c>
      <c r="F186" s="7">
        <v>14914</v>
      </c>
      <c r="G186" s="7">
        <v>6597</v>
      </c>
      <c r="H186" s="7">
        <v>6149</v>
      </c>
      <c r="I186" s="7">
        <v>2079</v>
      </c>
      <c r="J186" s="7">
        <v>8</v>
      </c>
      <c r="K186" s="7">
        <f t="shared" si="16"/>
        <v>-43940</v>
      </c>
      <c r="L186" s="7">
        <f t="shared" si="15"/>
        <v>-18771</v>
      </c>
      <c r="M186" s="8">
        <f t="shared" si="18"/>
        <v>-0.35103697312498006</v>
      </c>
      <c r="N186" s="8">
        <f t="shared" si="17"/>
        <v>-0.27025353816030062</v>
      </c>
      <c r="O186" s="7">
        <v>4985</v>
      </c>
      <c r="Q186" s="3"/>
      <c r="R186" s="3"/>
      <c r="S186" s="6"/>
      <c r="T186" s="7"/>
      <c r="U186" s="7"/>
      <c r="V186" s="7"/>
      <c r="W186" s="7"/>
      <c r="X186" s="7"/>
      <c r="Y186" s="7"/>
      <c r="Z186" s="7"/>
      <c r="AA186" s="7"/>
      <c r="AB186" s="7"/>
      <c r="AC186" s="7"/>
      <c r="AD186" s="7"/>
      <c r="AE186" s="8"/>
      <c r="AF186" s="8"/>
      <c r="AG186" s="6"/>
    </row>
    <row r="187" spans="1:33" ht="19.7" customHeight="1" x14ac:dyDescent="0.25">
      <c r="A187" s="6">
        <f t="shared" si="14"/>
        <v>41146</v>
      </c>
      <c r="B187" s="7">
        <f t="shared" si="13"/>
        <v>85109</v>
      </c>
      <c r="C187" s="7">
        <v>52677</v>
      </c>
      <c r="D187" s="7">
        <v>224</v>
      </c>
      <c r="E187" s="7">
        <v>494</v>
      </c>
      <c r="F187" s="7">
        <v>15768</v>
      </c>
      <c r="G187" s="7">
        <v>7077</v>
      </c>
      <c r="H187" s="7">
        <v>6916</v>
      </c>
      <c r="I187" s="7">
        <v>1945</v>
      </c>
      <c r="J187" s="7">
        <v>8</v>
      </c>
      <c r="K187" s="7">
        <f t="shared" si="16"/>
        <v>-37560</v>
      </c>
      <c r="L187" s="7">
        <f t="shared" si="15"/>
        <v>-14717</v>
      </c>
      <c r="M187" s="8">
        <f t="shared" si="18"/>
        <v>-0.30618982791088212</v>
      </c>
      <c r="N187" s="8">
        <f t="shared" si="17"/>
        <v>-0.21837255542036382</v>
      </c>
      <c r="O187" s="7">
        <v>4752</v>
      </c>
      <c r="Q187" s="3"/>
      <c r="R187" s="3"/>
      <c r="S187" s="6"/>
      <c r="T187" s="7"/>
      <c r="U187" s="7"/>
      <c r="V187" s="7"/>
      <c r="W187" s="7"/>
      <c r="X187" s="7"/>
      <c r="Y187" s="7"/>
      <c r="Z187" s="7"/>
      <c r="AA187" s="7"/>
      <c r="AB187" s="7"/>
      <c r="AC187" s="7"/>
      <c r="AD187" s="7"/>
      <c r="AE187" s="8"/>
      <c r="AF187" s="8"/>
      <c r="AG187" s="6"/>
    </row>
    <row r="188" spans="1:33" ht="19.7" customHeight="1" x14ac:dyDescent="0.25">
      <c r="A188" s="6">
        <f t="shared" si="14"/>
        <v>41153</v>
      </c>
      <c r="B188" s="7">
        <f t="shared" si="13"/>
        <v>88369</v>
      </c>
      <c r="C188" s="7">
        <v>55427</v>
      </c>
      <c r="D188" s="7">
        <v>231</v>
      </c>
      <c r="E188" s="7">
        <v>472</v>
      </c>
      <c r="F188" s="7">
        <v>16342</v>
      </c>
      <c r="G188" s="7">
        <v>7204</v>
      </c>
      <c r="H188" s="7">
        <v>7065</v>
      </c>
      <c r="I188" s="7">
        <v>1622</v>
      </c>
      <c r="J188" s="7">
        <v>6</v>
      </c>
      <c r="K188" s="7">
        <f t="shared" si="16"/>
        <v>-33090</v>
      </c>
      <c r="L188" s="7">
        <f t="shared" si="15"/>
        <v>-11049</v>
      </c>
      <c r="M188" s="8">
        <f t="shared" si="18"/>
        <v>-0.2724376126923489</v>
      </c>
      <c r="N188" s="8">
        <f t="shared" si="17"/>
        <v>-0.16621036163427405</v>
      </c>
      <c r="O188" s="7">
        <v>4518</v>
      </c>
      <c r="Q188" s="3"/>
      <c r="R188" s="3"/>
      <c r="S188" s="6"/>
      <c r="T188" s="7"/>
      <c r="U188" s="7"/>
      <c r="V188" s="7"/>
      <c r="W188" s="7"/>
      <c r="X188" s="7"/>
      <c r="Y188" s="7"/>
      <c r="Z188" s="7"/>
      <c r="AA188" s="7"/>
      <c r="AB188" s="7"/>
      <c r="AC188" s="7"/>
      <c r="AD188" s="7"/>
      <c r="AE188" s="8"/>
      <c r="AF188" s="8"/>
      <c r="AG188" s="7"/>
    </row>
    <row r="189" spans="1:33" ht="19.7" customHeight="1" x14ac:dyDescent="0.25">
      <c r="A189" s="6">
        <f t="shared" si="14"/>
        <v>41160</v>
      </c>
      <c r="B189" s="7">
        <f t="shared" si="13"/>
        <v>80380</v>
      </c>
      <c r="C189" s="7">
        <v>49054</v>
      </c>
      <c r="D189" s="7">
        <v>221</v>
      </c>
      <c r="E189" s="7">
        <v>438</v>
      </c>
      <c r="F189" s="7">
        <v>15595</v>
      </c>
      <c r="G189" s="7">
        <v>6949</v>
      </c>
      <c r="H189" s="7">
        <v>6872</v>
      </c>
      <c r="I189" s="7">
        <v>1245</v>
      </c>
      <c r="J189" s="7">
        <v>6</v>
      </c>
      <c r="K189" s="7">
        <f t="shared" si="16"/>
        <v>-38145</v>
      </c>
      <c r="L189" s="7">
        <f t="shared" si="15"/>
        <v>-15111</v>
      </c>
      <c r="M189" s="8">
        <f t="shared" si="18"/>
        <v>-0.32183083737608098</v>
      </c>
      <c r="N189" s="8">
        <f t="shared" si="17"/>
        <v>-0.23550222083690486</v>
      </c>
      <c r="O189" s="7">
        <v>4320</v>
      </c>
      <c r="Q189" s="3"/>
      <c r="R189" s="3"/>
      <c r="S189" s="6"/>
      <c r="T189" s="7"/>
      <c r="U189" s="7"/>
      <c r="V189" s="7"/>
      <c r="W189" s="7"/>
      <c r="X189" s="7"/>
      <c r="Y189" s="7"/>
      <c r="Z189" s="7"/>
      <c r="AA189" s="7"/>
      <c r="AB189" s="7"/>
      <c r="AC189" s="7"/>
      <c r="AD189" s="7"/>
      <c r="AE189" s="8"/>
      <c r="AF189" s="8"/>
      <c r="AG189" s="7"/>
    </row>
    <row r="190" spans="1:33" ht="19.7" customHeight="1" x14ac:dyDescent="0.25">
      <c r="A190" s="6">
        <f t="shared" si="14"/>
        <v>41167</v>
      </c>
      <c r="B190" s="7">
        <f t="shared" si="13"/>
        <v>82183</v>
      </c>
      <c r="C190" s="7">
        <v>48931</v>
      </c>
      <c r="D190" s="7">
        <v>218</v>
      </c>
      <c r="E190" s="7">
        <v>458</v>
      </c>
      <c r="F190" s="7">
        <v>16391</v>
      </c>
      <c r="G190" s="7">
        <v>7446</v>
      </c>
      <c r="H190" s="7">
        <v>7573</v>
      </c>
      <c r="I190" s="7">
        <v>1159</v>
      </c>
      <c r="J190" s="7">
        <v>7</v>
      </c>
      <c r="K190" s="7">
        <f t="shared" si="16"/>
        <v>-36861</v>
      </c>
      <c r="L190" s="7">
        <f t="shared" si="15"/>
        <v>-15423</v>
      </c>
      <c r="M190" s="8">
        <f t="shared" si="18"/>
        <v>-0.3096418131111186</v>
      </c>
      <c r="N190" s="8">
        <f t="shared" si="17"/>
        <v>-0.23965876247008733</v>
      </c>
      <c r="O190" s="7">
        <v>4790</v>
      </c>
      <c r="Q190" s="3"/>
      <c r="R190" s="3"/>
      <c r="S190" s="6"/>
      <c r="T190" s="7"/>
      <c r="U190" s="7"/>
      <c r="V190" s="7"/>
      <c r="W190" s="7"/>
      <c r="X190" s="7"/>
      <c r="Y190" s="7"/>
      <c r="Z190" s="7"/>
      <c r="AA190" s="7"/>
      <c r="AB190" s="7"/>
      <c r="AC190" s="7"/>
      <c r="AD190" s="7"/>
      <c r="AE190" s="8"/>
      <c r="AF190" s="8"/>
      <c r="AG190" s="7"/>
    </row>
    <row r="191" spans="1:33" ht="19.7" customHeight="1" x14ac:dyDescent="0.25">
      <c r="A191" s="6">
        <f t="shared" si="14"/>
        <v>41174</v>
      </c>
      <c r="B191" s="7">
        <f t="shared" si="13"/>
        <v>78453</v>
      </c>
      <c r="C191" s="7">
        <v>46742</v>
      </c>
      <c r="D191" s="7">
        <v>192</v>
      </c>
      <c r="E191" s="7">
        <v>444</v>
      </c>
      <c r="F191" s="7">
        <v>15893</v>
      </c>
      <c r="G191" s="7">
        <v>7058</v>
      </c>
      <c r="H191" s="7">
        <v>7279</v>
      </c>
      <c r="I191" s="7">
        <v>838</v>
      </c>
      <c r="J191" s="7">
        <v>7</v>
      </c>
      <c r="K191" s="7">
        <f t="shared" si="16"/>
        <v>-38215</v>
      </c>
      <c r="L191" s="7">
        <f t="shared" si="15"/>
        <v>-15830</v>
      </c>
      <c r="M191" s="8">
        <f t="shared" si="18"/>
        <v>-0.32755339938972128</v>
      </c>
      <c r="N191" s="8">
        <f t="shared" si="17"/>
        <v>-0.25298855718212621</v>
      </c>
      <c r="O191" s="7">
        <v>4382</v>
      </c>
      <c r="Q191" s="3"/>
      <c r="R191" s="3"/>
      <c r="S191" s="6"/>
      <c r="T191" s="7"/>
      <c r="U191" s="7"/>
      <c r="V191" s="7"/>
      <c r="W191" s="7"/>
      <c r="X191" s="7"/>
      <c r="Y191" s="7"/>
      <c r="Z191" s="7"/>
      <c r="AA191" s="7"/>
      <c r="AB191" s="7"/>
      <c r="AC191" s="7"/>
      <c r="AD191" s="7"/>
      <c r="AE191" s="8"/>
      <c r="AF191" s="8"/>
      <c r="AG191" s="7"/>
    </row>
    <row r="192" spans="1:33" ht="19.7" customHeight="1" x14ac:dyDescent="0.25">
      <c r="A192" s="6">
        <f t="shared" si="14"/>
        <v>41181</v>
      </c>
      <c r="B192" s="7">
        <f t="shared" si="13"/>
        <v>77290</v>
      </c>
      <c r="C192" s="7">
        <v>46038</v>
      </c>
      <c r="D192" s="7">
        <v>210</v>
      </c>
      <c r="E192" s="7">
        <v>441</v>
      </c>
      <c r="F192" s="7">
        <v>15882</v>
      </c>
      <c r="G192" s="7">
        <v>6915</v>
      </c>
      <c r="H192" s="7">
        <v>7234</v>
      </c>
      <c r="I192" s="7">
        <v>566</v>
      </c>
      <c r="J192" s="7">
        <v>4</v>
      </c>
      <c r="K192" s="7">
        <f t="shared" si="16"/>
        <v>-38068</v>
      </c>
      <c r="L192" s="7">
        <f t="shared" si="15"/>
        <v>-15651</v>
      </c>
      <c r="M192" s="8">
        <f t="shared" si="18"/>
        <v>-0.32999878638672653</v>
      </c>
      <c r="N192" s="8">
        <f t="shared" si="17"/>
        <v>-0.25370811651996306</v>
      </c>
      <c r="O192" s="7">
        <v>4435</v>
      </c>
      <c r="Q192" s="3"/>
      <c r="R192" s="3"/>
      <c r="S192" s="6"/>
      <c r="T192" s="7"/>
      <c r="U192" s="7"/>
      <c r="V192" s="7"/>
      <c r="W192" s="7"/>
      <c r="X192" s="7"/>
      <c r="Y192" s="7"/>
      <c r="Z192" s="7"/>
      <c r="AA192" s="7"/>
      <c r="AB192" s="7"/>
      <c r="AC192" s="7"/>
      <c r="AD192" s="7"/>
      <c r="AE192" s="8"/>
      <c r="AF192" s="8"/>
      <c r="AG192" s="7"/>
    </row>
    <row r="193" spans="1:33" ht="19.7" customHeight="1" x14ac:dyDescent="0.25">
      <c r="A193" s="6">
        <f t="shared" si="14"/>
        <v>41188</v>
      </c>
      <c r="B193" s="7">
        <f t="shared" si="13"/>
        <v>73906</v>
      </c>
      <c r="C193" s="7">
        <v>43651</v>
      </c>
      <c r="D193" s="7">
        <v>211</v>
      </c>
      <c r="E193" s="7">
        <v>409</v>
      </c>
      <c r="F193" s="7">
        <v>15377</v>
      </c>
      <c r="G193" s="7">
        <v>6800</v>
      </c>
      <c r="H193" s="7">
        <v>6982</v>
      </c>
      <c r="I193" s="7">
        <v>472</v>
      </c>
      <c r="J193" s="7">
        <v>4</v>
      </c>
      <c r="K193" s="7">
        <f t="shared" si="16"/>
        <v>-39650</v>
      </c>
      <c r="L193" s="7">
        <f t="shared" si="15"/>
        <v>-16761</v>
      </c>
      <c r="M193" s="8">
        <f t="shared" si="18"/>
        <v>-0.34916693085349959</v>
      </c>
      <c r="N193" s="8">
        <f t="shared" si="17"/>
        <v>-0.27744487850096011</v>
      </c>
      <c r="O193" s="7">
        <v>5308</v>
      </c>
      <c r="Q193" s="3"/>
      <c r="R193" s="3"/>
      <c r="S193" s="6"/>
      <c r="T193" s="7"/>
      <c r="U193" s="7"/>
      <c r="V193" s="7"/>
      <c r="W193" s="7"/>
      <c r="X193" s="7"/>
      <c r="Y193" s="7"/>
      <c r="Z193" s="7"/>
      <c r="AA193" s="7"/>
      <c r="AB193" s="7"/>
      <c r="AC193" s="7"/>
      <c r="AD193" s="7"/>
      <c r="AE193" s="8"/>
      <c r="AF193" s="8"/>
      <c r="AG193" s="7"/>
    </row>
    <row r="194" spans="1:33" ht="19.7" customHeight="1" x14ac:dyDescent="0.25">
      <c r="A194" s="6">
        <f t="shared" si="14"/>
        <v>41195</v>
      </c>
      <c r="B194" s="7">
        <f t="shared" si="13"/>
        <v>71128</v>
      </c>
      <c r="C194" s="7">
        <v>41978</v>
      </c>
      <c r="D194" s="7">
        <v>260</v>
      </c>
      <c r="E194" s="7">
        <v>418</v>
      </c>
      <c r="F194" s="7">
        <v>14925</v>
      </c>
      <c r="G194" s="7">
        <v>6502</v>
      </c>
      <c r="H194" s="7">
        <v>6653</v>
      </c>
      <c r="I194" s="7">
        <v>388</v>
      </c>
      <c r="J194" s="7">
        <v>4</v>
      </c>
      <c r="K194" s="7">
        <f t="shared" si="16"/>
        <v>-40733</v>
      </c>
      <c r="L194" s="7">
        <f t="shared" si="15"/>
        <v>-18402</v>
      </c>
      <c r="M194" s="8">
        <f t="shared" si="18"/>
        <v>-0.36413942303394387</v>
      </c>
      <c r="N194" s="8">
        <f t="shared" si="17"/>
        <v>-0.30476979132162962</v>
      </c>
      <c r="O194" s="7">
        <v>5186</v>
      </c>
      <c r="Q194" s="3"/>
      <c r="R194" s="3"/>
      <c r="S194" s="6"/>
      <c r="T194" s="7"/>
      <c r="U194" s="7"/>
      <c r="V194" s="7"/>
      <c r="W194" s="7"/>
      <c r="X194" s="7"/>
      <c r="Y194" s="7"/>
      <c r="Z194" s="7"/>
      <c r="AA194" s="7"/>
      <c r="AB194" s="7"/>
      <c r="AC194" s="7"/>
      <c r="AD194" s="7"/>
      <c r="AE194" s="8"/>
      <c r="AF194" s="8"/>
      <c r="AG194" s="7"/>
    </row>
    <row r="195" spans="1:33" ht="19.7" customHeight="1" x14ac:dyDescent="0.25">
      <c r="A195" s="6">
        <f t="shared" si="14"/>
        <v>41202</v>
      </c>
      <c r="B195" s="7">
        <f t="shared" si="13"/>
        <v>72302</v>
      </c>
      <c r="C195" s="7">
        <v>43041</v>
      </c>
      <c r="D195" s="7">
        <v>300</v>
      </c>
      <c r="E195" s="7">
        <v>451</v>
      </c>
      <c r="F195" s="7">
        <v>14965</v>
      </c>
      <c r="G195" s="7">
        <v>6537</v>
      </c>
      <c r="H195" s="7">
        <v>6656</v>
      </c>
      <c r="I195" s="7">
        <v>347</v>
      </c>
      <c r="J195" s="7">
        <v>5</v>
      </c>
      <c r="K195" s="7">
        <f t="shared" si="16"/>
        <v>-39822</v>
      </c>
      <c r="L195" s="7">
        <f t="shared" si="15"/>
        <v>-17595</v>
      </c>
      <c r="M195" s="8">
        <f t="shared" si="18"/>
        <v>-0.35516035817487779</v>
      </c>
      <c r="N195" s="8">
        <f t="shared" si="17"/>
        <v>-0.29017415396793989</v>
      </c>
      <c r="O195" s="7">
        <v>5259</v>
      </c>
      <c r="Q195" s="3"/>
      <c r="R195" s="3"/>
      <c r="S195" s="6"/>
      <c r="T195" s="7"/>
      <c r="U195" s="7"/>
      <c r="V195" s="7"/>
      <c r="W195" s="7"/>
      <c r="X195" s="7"/>
      <c r="Y195" s="7"/>
      <c r="Z195" s="7"/>
      <c r="AA195" s="7"/>
      <c r="AB195" s="7"/>
      <c r="AC195" s="7"/>
      <c r="AD195" s="7"/>
      <c r="AE195" s="8"/>
      <c r="AF195" s="8"/>
      <c r="AG195" s="7"/>
    </row>
    <row r="196" spans="1:33" ht="19.7" customHeight="1" x14ac:dyDescent="0.25">
      <c r="A196" s="6">
        <f t="shared" si="14"/>
        <v>41209</v>
      </c>
      <c r="B196" s="7">
        <f t="shared" ref="B196:B259" si="19">SUM(C196:J196)</f>
        <v>70928</v>
      </c>
      <c r="C196" s="7">
        <v>42000</v>
      </c>
      <c r="D196" s="7">
        <v>308</v>
      </c>
      <c r="E196" s="7">
        <v>391</v>
      </c>
      <c r="F196" s="7">
        <v>14846</v>
      </c>
      <c r="G196" s="7">
        <v>6460</v>
      </c>
      <c r="H196" s="7">
        <v>6575</v>
      </c>
      <c r="I196" s="7">
        <v>343</v>
      </c>
      <c r="J196" s="7">
        <v>5</v>
      </c>
      <c r="K196" s="7">
        <f t="shared" si="16"/>
        <v>-39667</v>
      </c>
      <c r="L196" s="7">
        <f t="shared" si="15"/>
        <v>-17420</v>
      </c>
      <c r="M196" s="8">
        <f t="shared" si="18"/>
        <v>-0.35866901758669023</v>
      </c>
      <c r="N196" s="8">
        <f t="shared" si="17"/>
        <v>-0.29316728374284751</v>
      </c>
      <c r="O196" s="7">
        <v>4733</v>
      </c>
      <c r="Q196" s="3"/>
      <c r="R196" s="3"/>
      <c r="S196" s="6"/>
      <c r="T196" s="7"/>
      <c r="U196" s="7"/>
      <c r="V196" s="7"/>
      <c r="W196" s="7"/>
      <c r="X196" s="7"/>
      <c r="Y196" s="7"/>
      <c r="Z196" s="7"/>
      <c r="AA196" s="7"/>
      <c r="AB196" s="7"/>
      <c r="AC196" s="7"/>
      <c r="AD196" s="7"/>
      <c r="AE196" s="8"/>
      <c r="AF196" s="8"/>
      <c r="AG196" s="7"/>
    </row>
    <row r="197" spans="1:33" ht="19.7" customHeight="1" x14ac:dyDescent="0.25">
      <c r="A197" s="6">
        <f t="shared" si="14"/>
        <v>41216</v>
      </c>
      <c r="B197" s="7">
        <f t="shared" si="19"/>
        <v>69246</v>
      </c>
      <c r="C197" s="7">
        <v>40788</v>
      </c>
      <c r="D197" s="7">
        <v>380</v>
      </c>
      <c r="E197" s="7">
        <v>421</v>
      </c>
      <c r="F197" s="7">
        <v>14734</v>
      </c>
      <c r="G197" s="7">
        <v>6277</v>
      </c>
      <c r="H197" s="7">
        <v>6328</v>
      </c>
      <c r="I197" s="7">
        <v>314</v>
      </c>
      <c r="J197" s="7">
        <v>4</v>
      </c>
      <c r="K197" s="7">
        <f t="shared" si="16"/>
        <v>-39947</v>
      </c>
      <c r="L197" s="7">
        <f t="shared" si="15"/>
        <v>-17556</v>
      </c>
      <c r="M197" s="8">
        <f t="shared" si="18"/>
        <v>-0.36583846949896059</v>
      </c>
      <c r="N197" s="8">
        <f t="shared" si="17"/>
        <v>-0.30090497737556565</v>
      </c>
      <c r="O197" s="7">
        <v>4699</v>
      </c>
      <c r="Q197" s="3"/>
      <c r="R197" s="3"/>
      <c r="S197" s="6"/>
      <c r="T197" s="7"/>
      <c r="U197" s="7"/>
      <c r="V197" s="7"/>
      <c r="W197" s="7"/>
      <c r="X197" s="7"/>
      <c r="Y197" s="7"/>
      <c r="Z197" s="7"/>
      <c r="AA197" s="7"/>
      <c r="AB197" s="7"/>
      <c r="AC197" s="7"/>
      <c r="AD197" s="7"/>
      <c r="AE197" s="8"/>
      <c r="AF197" s="8"/>
      <c r="AG197" s="7"/>
    </row>
    <row r="198" spans="1:33" ht="19.7" customHeight="1" x14ac:dyDescent="0.25">
      <c r="A198" s="6">
        <f t="shared" ref="A198:A261" si="20">A197+7</f>
        <v>41223</v>
      </c>
      <c r="B198" s="7">
        <f t="shared" si="19"/>
        <v>67371</v>
      </c>
      <c r="C198" s="7">
        <v>39362</v>
      </c>
      <c r="D198" s="7">
        <v>366</v>
      </c>
      <c r="E198" s="7">
        <v>386</v>
      </c>
      <c r="F198" s="7">
        <v>14540</v>
      </c>
      <c r="G198" s="7">
        <v>6262</v>
      </c>
      <c r="H198" s="7">
        <v>6191</v>
      </c>
      <c r="I198" s="7">
        <v>260</v>
      </c>
      <c r="J198" s="7">
        <v>4</v>
      </c>
      <c r="K198" s="7">
        <f t="shared" si="16"/>
        <v>-37830</v>
      </c>
      <c r="L198" s="7">
        <f t="shared" si="15"/>
        <v>-16172</v>
      </c>
      <c r="M198" s="8">
        <f t="shared" si="18"/>
        <v>-0.35959734223058715</v>
      </c>
      <c r="N198" s="8">
        <f t="shared" si="17"/>
        <v>-0.29120898908776605</v>
      </c>
      <c r="O198" s="7">
        <v>4787</v>
      </c>
      <c r="Q198" s="3"/>
      <c r="R198" s="3"/>
      <c r="S198" s="6"/>
      <c r="T198" s="7"/>
      <c r="U198" s="7"/>
      <c r="V198" s="7"/>
      <c r="W198" s="7"/>
      <c r="X198" s="7"/>
      <c r="Y198" s="7"/>
      <c r="Z198" s="7"/>
      <c r="AA198" s="7"/>
      <c r="AB198" s="7"/>
      <c r="AC198" s="7"/>
      <c r="AD198" s="7"/>
      <c r="AE198" s="8"/>
      <c r="AF198" s="8"/>
      <c r="AG198" s="7"/>
    </row>
    <row r="199" spans="1:33" ht="19.7" customHeight="1" x14ac:dyDescent="0.25">
      <c r="A199" s="6">
        <f t="shared" si="20"/>
        <v>41230</v>
      </c>
      <c r="B199" s="7">
        <f t="shared" si="19"/>
        <v>64529</v>
      </c>
      <c r="C199" s="7">
        <v>38271</v>
      </c>
      <c r="D199" s="7">
        <v>367</v>
      </c>
      <c r="E199" s="7">
        <v>383</v>
      </c>
      <c r="F199" s="7">
        <v>13895</v>
      </c>
      <c r="G199" s="7">
        <v>6038</v>
      </c>
      <c r="H199" s="7">
        <v>5343</v>
      </c>
      <c r="I199" s="7">
        <v>228</v>
      </c>
      <c r="J199" s="7">
        <v>4</v>
      </c>
      <c r="K199" s="7">
        <f t="shared" si="16"/>
        <v>-42526</v>
      </c>
      <c r="L199" s="7">
        <f t="shared" si="15"/>
        <v>-18441</v>
      </c>
      <c r="M199" s="8">
        <f t="shared" si="18"/>
        <v>-0.39723506608752512</v>
      </c>
      <c r="N199" s="8">
        <f t="shared" si="17"/>
        <v>-0.32516927634363102</v>
      </c>
      <c r="O199" s="7">
        <v>4238</v>
      </c>
      <c r="Q199" s="3"/>
      <c r="R199" s="3"/>
      <c r="S199" s="6"/>
      <c r="T199" s="7"/>
      <c r="U199" s="7"/>
      <c r="V199" s="7"/>
      <c r="W199" s="7"/>
      <c r="X199" s="7"/>
      <c r="Y199" s="7"/>
      <c r="Z199" s="7"/>
      <c r="AA199" s="7"/>
      <c r="AB199" s="7"/>
      <c r="AC199" s="7"/>
      <c r="AD199" s="7"/>
      <c r="AE199" s="8"/>
      <c r="AF199" s="8"/>
      <c r="AG199" s="7"/>
    </row>
    <row r="200" spans="1:33" ht="19.7" customHeight="1" x14ac:dyDescent="0.25">
      <c r="A200" s="6">
        <f t="shared" si="20"/>
        <v>41237</v>
      </c>
      <c r="B200" s="7">
        <f t="shared" si="19"/>
        <v>63290</v>
      </c>
      <c r="C200" s="7">
        <v>37297</v>
      </c>
      <c r="D200" s="7">
        <v>380</v>
      </c>
      <c r="E200" s="7">
        <v>389</v>
      </c>
      <c r="F200" s="7">
        <v>13665</v>
      </c>
      <c r="G200" s="7">
        <v>6087</v>
      </c>
      <c r="H200" s="7">
        <v>5265</v>
      </c>
      <c r="I200" s="7">
        <v>203</v>
      </c>
      <c r="J200" s="7">
        <v>4</v>
      </c>
      <c r="K200" s="7">
        <f t="shared" si="16"/>
        <v>-39226</v>
      </c>
      <c r="L200" s="7">
        <f t="shared" si="15"/>
        <v>-16708</v>
      </c>
      <c r="M200" s="8">
        <f t="shared" si="18"/>
        <v>-0.38263295485582738</v>
      </c>
      <c r="N200" s="8">
        <f t="shared" si="17"/>
        <v>-0.30937876122581243</v>
      </c>
      <c r="O200" s="7">
        <v>3738</v>
      </c>
      <c r="Q200" s="3"/>
      <c r="R200" s="3"/>
      <c r="S200" s="6"/>
      <c r="T200" s="7"/>
      <c r="U200" s="7"/>
      <c r="V200" s="7"/>
      <c r="W200" s="7"/>
      <c r="X200" s="7"/>
      <c r="Y200" s="7"/>
      <c r="Z200" s="7"/>
      <c r="AA200" s="7"/>
      <c r="AB200" s="7"/>
      <c r="AC200" s="7"/>
      <c r="AD200" s="7"/>
      <c r="AE200" s="8"/>
      <c r="AF200" s="8"/>
      <c r="AG200" s="7"/>
    </row>
    <row r="201" spans="1:33" ht="19.7" customHeight="1" x14ac:dyDescent="0.25">
      <c r="A201" s="6">
        <f t="shared" si="20"/>
        <v>41244</v>
      </c>
      <c r="B201" s="7">
        <f t="shared" si="19"/>
        <v>64553</v>
      </c>
      <c r="C201" s="7">
        <v>38727</v>
      </c>
      <c r="D201" s="7">
        <v>399</v>
      </c>
      <c r="E201" s="7">
        <v>380</v>
      </c>
      <c r="F201" s="7">
        <v>13784</v>
      </c>
      <c r="G201" s="7">
        <v>6081</v>
      </c>
      <c r="H201" s="7">
        <v>4953</v>
      </c>
      <c r="I201" s="7">
        <v>226</v>
      </c>
      <c r="J201" s="7">
        <v>3</v>
      </c>
      <c r="K201" s="7">
        <f t="shared" si="16"/>
        <v>-39677</v>
      </c>
      <c r="L201" s="7">
        <f t="shared" si="15"/>
        <v>-17347</v>
      </c>
      <c r="M201" s="8">
        <f t="shared" si="18"/>
        <v>-0.38066775400556463</v>
      </c>
      <c r="N201" s="8">
        <f t="shared" si="17"/>
        <v>-0.30935906124050361</v>
      </c>
      <c r="O201" s="7">
        <v>5200</v>
      </c>
      <c r="Q201" s="3"/>
      <c r="R201" s="3"/>
      <c r="S201" s="6"/>
      <c r="T201" s="7"/>
      <c r="U201" s="7"/>
      <c r="V201" s="7"/>
      <c r="W201" s="7"/>
      <c r="X201" s="7"/>
      <c r="Y201" s="7"/>
      <c r="Z201" s="7"/>
      <c r="AA201" s="7"/>
      <c r="AB201" s="7"/>
      <c r="AC201" s="7"/>
      <c r="AD201" s="7"/>
      <c r="AE201" s="8"/>
      <c r="AF201" s="8"/>
      <c r="AG201" s="7"/>
    </row>
    <row r="202" spans="1:33" ht="19.7" customHeight="1" x14ac:dyDescent="0.25">
      <c r="A202" s="6">
        <f t="shared" si="20"/>
        <v>41251</v>
      </c>
      <c r="B202" s="7">
        <f t="shared" si="19"/>
        <v>63861</v>
      </c>
      <c r="C202" s="7">
        <v>38570</v>
      </c>
      <c r="D202" s="7">
        <v>436</v>
      </c>
      <c r="E202" s="7">
        <v>380</v>
      </c>
      <c r="F202" s="7">
        <v>13590</v>
      </c>
      <c r="G202" s="7">
        <v>6060</v>
      </c>
      <c r="H202" s="7">
        <v>4609</v>
      </c>
      <c r="I202" s="7">
        <v>214</v>
      </c>
      <c r="J202" s="7">
        <v>2</v>
      </c>
      <c r="K202" s="7">
        <f t="shared" si="16"/>
        <v>-37637</v>
      </c>
      <c r="L202" s="7">
        <f t="shared" si="15"/>
        <v>-15468</v>
      </c>
      <c r="M202" s="8">
        <f t="shared" si="18"/>
        <v>-0.37081518847662021</v>
      </c>
      <c r="N202" s="8">
        <f t="shared" si="17"/>
        <v>-0.28624301417521003</v>
      </c>
      <c r="O202" s="7">
        <v>5025</v>
      </c>
      <c r="Q202" s="3"/>
      <c r="R202" s="3"/>
      <c r="S202" s="6"/>
      <c r="T202" s="7"/>
      <c r="U202" s="7"/>
      <c r="V202" s="7"/>
      <c r="W202" s="7"/>
      <c r="X202" s="7"/>
      <c r="Y202" s="7"/>
      <c r="Z202" s="7"/>
      <c r="AA202" s="7"/>
      <c r="AB202" s="7"/>
      <c r="AC202" s="7"/>
      <c r="AD202" s="7"/>
      <c r="AE202" s="8"/>
      <c r="AF202" s="8"/>
      <c r="AG202" s="7"/>
    </row>
    <row r="203" spans="1:33" ht="19.7" customHeight="1" x14ac:dyDescent="0.25">
      <c r="A203" s="6">
        <f t="shared" si="20"/>
        <v>41258</v>
      </c>
      <c r="B203" s="7">
        <f t="shared" si="19"/>
        <v>62349</v>
      </c>
      <c r="C203" s="7">
        <v>37903</v>
      </c>
      <c r="D203" s="7">
        <v>413</v>
      </c>
      <c r="E203" s="7">
        <v>370</v>
      </c>
      <c r="F203" s="7">
        <v>13026</v>
      </c>
      <c r="G203" s="7">
        <v>6093</v>
      </c>
      <c r="H203" s="7">
        <v>4368</v>
      </c>
      <c r="I203" s="7">
        <v>174</v>
      </c>
      <c r="J203" s="7">
        <v>2</v>
      </c>
      <c r="K203" s="7">
        <f t="shared" si="16"/>
        <v>-38739</v>
      </c>
      <c r="L203" s="7">
        <f t="shared" si="15"/>
        <v>-15876</v>
      </c>
      <c r="M203" s="8">
        <f t="shared" si="18"/>
        <v>-0.38322056030389362</v>
      </c>
      <c r="N203" s="8">
        <f t="shared" si="17"/>
        <v>-0.2952081667565406</v>
      </c>
      <c r="O203" s="7">
        <v>4551</v>
      </c>
      <c r="Q203" s="3"/>
      <c r="R203" s="3"/>
      <c r="S203" s="6"/>
      <c r="T203" s="7"/>
      <c r="U203" s="7"/>
      <c r="V203" s="7"/>
      <c r="W203" s="7"/>
      <c r="X203" s="7"/>
      <c r="Y203" s="7"/>
      <c r="Z203" s="7"/>
      <c r="AA203" s="7"/>
      <c r="AB203" s="7"/>
      <c r="AC203" s="7"/>
      <c r="AD203" s="7"/>
      <c r="AE203" s="8"/>
      <c r="AF203" s="8"/>
      <c r="AG203" s="7"/>
    </row>
    <row r="204" spans="1:33" ht="19.7" customHeight="1" x14ac:dyDescent="0.25">
      <c r="A204" s="6">
        <f t="shared" si="20"/>
        <v>41265</v>
      </c>
      <c r="B204" s="7">
        <f t="shared" si="19"/>
        <v>61141</v>
      </c>
      <c r="C204" s="7">
        <v>37219</v>
      </c>
      <c r="D204" s="7">
        <v>436</v>
      </c>
      <c r="E204" s="7">
        <v>371</v>
      </c>
      <c r="F204" s="7">
        <v>12172</v>
      </c>
      <c r="G204" s="7">
        <v>6446</v>
      </c>
      <c r="H204" s="7">
        <v>4332</v>
      </c>
      <c r="I204" s="7">
        <v>162</v>
      </c>
      <c r="J204" s="7">
        <v>3</v>
      </c>
      <c r="K204" s="7">
        <f t="shared" si="16"/>
        <v>-39804</v>
      </c>
      <c r="L204" s="7">
        <f t="shared" si="15"/>
        <v>-16484</v>
      </c>
      <c r="M204" s="8">
        <f t="shared" si="18"/>
        <v>-0.39431373520233792</v>
      </c>
      <c r="N204" s="8">
        <f t="shared" si="17"/>
        <v>-0.30694747034616321</v>
      </c>
      <c r="O204" s="7">
        <v>4359</v>
      </c>
      <c r="Q204" s="3"/>
      <c r="R204" s="3"/>
      <c r="S204" s="6"/>
      <c r="T204" s="7"/>
      <c r="U204" s="7"/>
      <c r="V204" s="7"/>
      <c r="W204" s="7"/>
      <c r="X204" s="7"/>
      <c r="Y204" s="7"/>
      <c r="Z204" s="7"/>
      <c r="AA204" s="7"/>
      <c r="AB204" s="7"/>
      <c r="AC204" s="7"/>
      <c r="AD204" s="7"/>
      <c r="AE204" s="8"/>
      <c r="AF204" s="8"/>
      <c r="AG204" s="7"/>
    </row>
    <row r="205" spans="1:33" ht="19.7" customHeight="1" x14ac:dyDescent="0.25">
      <c r="A205" s="6">
        <f t="shared" si="20"/>
        <v>41272</v>
      </c>
      <c r="B205" s="7">
        <f t="shared" si="19"/>
        <v>59176</v>
      </c>
      <c r="C205" s="7">
        <v>36006</v>
      </c>
      <c r="D205" s="7">
        <v>451</v>
      </c>
      <c r="E205" s="7">
        <v>353</v>
      </c>
      <c r="F205" s="7">
        <v>11647</v>
      </c>
      <c r="G205" s="7">
        <v>6512</v>
      </c>
      <c r="H205" s="7">
        <v>4086</v>
      </c>
      <c r="I205" s="7">
        <v>118</v>
      </c>
      <c r="J205" s="7">
        <v>3</v>
      </c>
      <c r="K205" s="7">
        <f t="shared" si="16"/>
        <v>-40911</v>
      </c>
      <c r="L205" s="7">
        <f t="shared" si="15"/>
        <v>-17567</v>
      </c>
      <c r="M205" s="8">
        <f t="shared" si="18"/>
        <v>-0.40875438368619299</v>
      </c>
      <c r="N205" s="8">
        <f t="shared" si="17"/>
        <v>-0.32790771470703528</v>
      </c>
      <c r="O205" s="7">
        <v>3387</v>
      </c>
      <c r="Q205" s="3"/>
      <c r="R205" s="3"/>
      <c r="S205" s="6"/>
      <c r="T205" s="7"/>
      <c r="U205" s="7"/>
      <c r="V205" s="7"/>
      <c r="W205" s="7"/>
      <c r="X205" s="7"/>
      <c r="Y205" s="7"/>
      <c r="Z205" s="7"/>
      <c r="AA205" s="7"/>
      <c r="AB205" s="7"/>
      <c r="AC205" s="7"/>
      <c r="AD205" s="7"/>
      <c r="AE205" s="8"/>
      <c r="AF205" s="8"/>
      <c r="AG205" s="7"/>
    </row>
    <row r="206" spans="1:33" ht="19.7" customHeight="1" x14ac:dyDescent="0.25">
      <c r="A206" s="6">
        <f t="shared" si="20"/>
        <v>41279</v>
      </c>
      <c r="B206" s="7">
        <f t="shared" si="19"/>
        <v>60767</v>
      </c>
      <c r="C206" s="7">
        <v>37506</v>
      </c>
      <c r="D206" s="7">
        <v>474</v>
      </c>
      <c r="E206" s="7">
        <v>336</v>
      </c>
      <c r="F206" s="7">
        <v>11275</v>
      </c>
      <c r="G206" s="7">
        <v>6813</v>
      </c>
      <c r="H206" s="7">
        <v>4230</v>
      </c>
      <c r="I206" s="7">
        <v>130</v>
      </c>
      <c r="J206" s="7">
        <v>3</v>
      </c>
      <c r="K206" s="7">
        <f t="shared" si="16"/>
        <v>-40787</v>
      </c>
      <c r="L206" s="7">
        <f t="shared" si="15"/>
        <v>-16885</v>
      </c>
      <c r="M206" s="8">
        <f t="shared" si="18"/>
        <v>-0.40162869015499147</v>
      </c>
      <c r="N206" s="8">
        <f t="shared" si="17"/>
        <v>-0.31043738853854497</v>
      </c>
      <c r="O206" s="7">
        <v>4649</v>
      </c>
      <c r="Q206" s="3"/>
      <c r="R206" s="3"/>
      <c r="S206" s="6"/>
      <c r="T206" s="7"/>
      <c r="U206" s="7"/>
      <c r="V206" s="7"/>
      <c r="W206" s="7"/>
      <c r="X206" s="7"/>
      <c r="Y206" s="7"/>
      <c r="Z206" s="7"/>
      <c r="AA206" s="7"/>
      <c r="AB206" s="7"/>
      <c r="AC206" s="7"/>
      <c r="AD206" s="7"/>
      <c r="AE206" s="8"/>
      <c r="AF206" s="8"/>
      <c r="AG206" s="7"/>
    </row>
    <row r="207" spans="1:33" ht="19.7" customHeight="1" x14ac:dyDescent="0.25">
      <c r="A207" s="6">
        <f t="shared" si="20"/>
        <v>41286</v>
      </c>
      <c r="B207" s="7">
        <f t="shared" si="19"/>
        <v>60571</v>
      </c>
      <c r="C207" s="7">
        <v>38086</v>
      </c>
      <c r="D207" s="7">
        <v>476</v>
      </c>
      <c r="E207" s="7">
        <v>412</v>
      </c>
      <c r="F207" s="7">
        <v>10420</v>
      </c>
      <c r="G207" s="7">
        <v>6850</v>
      </c>
      <c r="H207" s="7">
        <v>4162</v>
      </c>
      <c r="I207" s="7">
        <v>163</v>
      </c>
      <c r="J207" s="7">
        <v>2</v>
      </c>
      <c r="K207" s="7">
        <f t="shared" si="16"/>
        <v>-42145</v>
      </c>
      <c r="L207" s="7">
        <f t="shared" si="15"/>
        <v>-17469</v>
      </c>
      <c r="M207" s="8">
        <f t="shared" si="18"/>
        <v>-0.41030608668561863</v>
      </c>
      <c r="N207" s="8">
        <f t="shared" si="17"/>
        <v>-0.31444514445144456</v>
      </c>
      <c r="O207" s="7">
        <v>6184</v>
      </c>
      <c r="Q207" s="3"/>
      <c r="R207" s="3"/>
      <c r="S207" s="6"/>
      <c r="T207" s="7"/>
      <c r="U207" s="7"/>
      <c r="V207" s="7"/>
      <c r="W207" s="7"/>
      <c r="X207" s="7"/>
      <c r="Y207" s="7"/>
      <c r="Z207" s="7"/>
      <c r="AA207" s="7"/>
      <c r="AB207" s="7"/>
      <c r="AC207" s="7"/>
      <c r="AD207" s="7"/>
      <c r="AE207" s="8"/>
      <c r="AF207" s="8"/>
      <c r="AG207" s="7"/>
    </row>
    <row r="208" spans="1:33" ht="19.7" customHeight="1" x14ac:dyDescent="0.25">
      <c r="A208" s="6">
        <f t="shared" si="20"/>
        <v>41293</v>
      </c>
      <c r="B208" s="7">
        <f t="shared" si="19"/>
        <v>61607</v>
      </c>
      <c r="C208" s="7">
        <v>38650</v>
      </c>
      <c r="D208" s="7">
        <v>489</v>
      </c>
      <c r="E208" s="7">
        <v>352</v>
      </c>
      <c r="F208" s="7">
        <v>10739</v>
      </c>
      <c r="G208" s="7">
        <v>7045</v>
      </c>
      <c r="H208" s="7">
        <v>4172</v>
      </c>
      <c r="I208" s="7">
        <v>157</v>
      </c>
      <c r="J208" s="7">
        <v>3</v>
      </c>
      <c r="K208" s="7">
        <f t="shared" si="16"/>
        <v>-39129</v>
      </c>
      <c r="L208" s="7">
        <f t="shared" si="15"/>
        <v>-16132</v>
      </c>
      <c r="M208" s="8">
        <f t="shared" si="18"/>
        <v>-0.38843114675984747</v>
      </c>
      <c r="N208" s="8">
        <f t="shared" si="17"/>
        <v>-0.2944762878317696</v>
      </c>
      <c r="O208" s="7">
        <v>6479</v>
      </c>
      <c r="Q208" s="3"/>
      <c r="R208" s="3"/>
      <c r="S208" s="6"/>
      <c r="T208" s="7"/>
      <c r="U208" s="7"/>
      <c r="V208" s="7"/>
      <c r="W208" s="7"/>
      <c r="X208" s="7"/>
      <c r="Y208" s="7"/>
      <c r="Z208" s="7"/>
      <c r="AA208" s="7"/>
      <c r="AB208" s="7"/>
      <c r="AC208" s="7"/>
      <c r="AD208" s="7"/>
      <c r="AE208" s="8"/>
      <c r="AF208" s="8"/>
      <c r="AG208" s="7"/>
    </row>
    <row r="209" spans="1:33" ht="19.7" customHeight="1" x14ac:dyDescent="0.25">
      <c r="A209" s="6">
        <f t="shared" si="20"/>
        <v>41300</v>
      </c>
      <c r="B209" s="7">
        <f t="shared" si="19"/>
        <v>59558</v>
      </c>
      <c r="C209" s="7">
        <v>37764</v>
      </c>
      <c r="D209" s="7">
        <v>463</v>
      </c>
      <c r="E209" s="7">
        <v>323</v>
      </c>
      <c r="F209" s="7">
        <v>9897</v>
      </c>
      <c r="G209" s="7">
        <v>7019</v>
      </c>
      <c r="H209" s="7">
        <v>3997</v>
      </c>
      <c r="I209" s="7">
        <v>92</v>
      </c>
      <c r="J209" s="7">
        <v>3</v>
      </c>
      <c r="K209" s="7">
        <f t="shared" si="16"/>
        <v>-41675</v>
      </c>
      <c r="L209" s="7">
        <f t="shared" si="15"/>
        <v>-17426</v>
      </c>
      <c r="M209" s="8">
        <f t="shared" si="18"/>
        <v>-0.41167405885432617</v>
      </c>
      <c r="N209" s="8">
        <f t="shared" si="17"/>
        <v>-0.31574560608805946</v>
      </c>
      <c r="O209" s="7">
        <v>4914</v>
      </c>
      <c r="Q209" s="3"/>
      <c r="R209" s="3"/>
      <c r="S209" s="6"/>
      <c r="T209" s="7"/>
      <c r="U209" s="7"/>
      <c r="V209" s="7"/>
      <c r="W209" s="7"/>
      <c r="X209" s="7"/>
      <c r="Y209" s="7"/>
      <c r="Z209" s="7"/>
      <c r="AA209" s="7"/>
      <c r="AB209" s="7"/>
      <c r="AC209" s="7"/>
      <c r="AD209" s="7"/>
      <c r="AE209" s="8"/>
      <c r="AF209" s="8"/>
      <c r="AG209" s="7"/>
    </row>
    <row r="210" spans="1:33" ht="19.7" customHeight="1" x14ac:dyDescent="0.25">
      <c r="A210" s="6">
        <f t="shared" si="20"/>
        <v>41307</v>
      </c>
      <c r="B210" s="7">
        <f t="shared" si="19"/>
        <v>62256</v>
      </c>
      <c r="C210" s="7">
        <v>39249</v>
      </c>
      <c r="D210" s="7">
        <v>531</v>
      </c>
      <c r="E210" s="7">
        <v>344</v>
      </c>
      <c r="F210" s="7">
        <v>10504</v>
      </c>
      <c r="G210" s="7">
        <v>7262</v>
      </c>
      <c r="H210" s="7">
        <v>4231</v>
      </c>
      <c r="I210" s="7">
        <v>132</v>
      </c>
      <c r="J210" s="7">
        <v>3</v>
      </c>
      <c r="K210" s="7">
        <f t="shared" si="16"/>
        <v>-37928</v>
      </c>
      <c r="L210" s="7">
        <f t="shared" si="15"/>
        <v>-15151</v>
      </c>
      <c r="M210" s="8">
        <f t="shared" si="18"/>
        <v>-0.37858340653198119</v>
      </c>
      <c r="N210" s="8">
        <f t="shared" si="17"/>
        <v>-0.27851102941176475</v>
      </c>
      <c r="O210" s="7">
        <v>5095</v>
      </c>
      <c r="Q210" s="3"/>
      <c r="R210" s="3"/>
      <c r="S210" s="6"/>
      <c r="T210" s="7"/>
      <c r="U210" s="7"/>
      <c r="V210" s="7"/>
      <c r="W210" s="7"/>
      <c r="X210" s="7"/>
      <c r="Y210" s="7"/>
      <c r="Z210" s="7"/>
      <c r="AA210" s="7"/>
      <c r="AB210" s="7"/>
      <c r="AC210" s="7"/>
      <c r="AD210" s="7"/>
      <c r="AE210" s="8"/>
      <c r="AF210" s="8"/>
      <c r="AG210" s="7"/>
    </row>
    <row r="211" spans="1:33" ht="19.7" customHeight="1" x14ac:dyDescent="0.25">
      <c r="A211" s="6">
        <f t="shared" si="20"/>
        <v>41314</v>
      </c>
      <c r="B211" s="7">
        <f t="shared" si="19"/>
        <v>60151</v>
      </c>
      <c r="C211" s="7">
        <v>38107</v>
      </c>
      <c r="D211" s="7">
        <v>473</v>
      </c>
      <c r="E211" s="7">
        <v>343</v>
      </c>
      <c r="F211" s="7">
        <v>9902</v>
      </c>
      <c r="G211" s="7">
        <v>7127</v>
      </c>
      <c r="H211" s="7">
        <v>4070</v>
      </c>
      <c r="I211" s="7">
        <v>126</v>
      </c>
      <c r="J211" s="7">
        <v>3</v>
      </c>
      <c r="K211" s="7">
        <f t="shared" si="16"/>
        <v>-39504</v>
      </c>
      <c r="L211" s="7">
        <f t="shared" si="15"/>
        <v>-15949</v>
      </c>
      <c r="M211" s="8">
        <f t="shared" si="18"/>
        <v>-0.39640760624153326</v>
      </c>
      <c r="N211" s="8">
        <f t="shared" si="17"/>
        <v>-0.29504587834837948</v>
      </c>
      <c r="O211" s="7">
        <v>4967</v>
      </c>
      <c r="Q211" s="3"/>
      <c r="R211" s="3"/>
      <c r="S211" s="6"/>
      <c r="T211" s="7"/>
      <c r="U211" s="7"/>
      <c r="V211" s="7"/>
      <c r="W211" s="7"/>
      <c r="X211" s="7"/>
      <c r="Y211" s="7"/>
      <c r="Z211" s="7"/>
      <c r="AA211" s="7"/>
      <c r="AB211" s="7"/>
      <c r="AC211" s="7"/>
      <c r="AD211" s="7"/>
      <c r="AE211" s="8"/>
      <c r="AF211" s="8"/>
      <c r="AG211" s="7"/>
    </row>
    <row r="212" spans="1:33" ht="19.7" customHeight="1" x14ac:dyDescent="0.25">
      <c r="A212" s="6">
        <f t="shared" si="20"/>
        <v>41321</v>
      </c>
      <c r="B212" s="7">
        <f t="shared" si="19"/>
        <v>60191</v>
      </c>
      <c r="C212" s="7">
        <v>37921</v>
      </c>
      <c r="D212" s="7">
        <v>467</v>
      </c>
      <c r="E212" s="7">
        <v>337</v>
      </c>
      <c r="F212" s="7">
        <v>10151</v>
      </c>
      <c r="G212" s="7">
        <v>7083</v>
      </c>
      <c r="H212" s="7">
        <v>4098</v>
      </c>
      <c r="I212" s="7">
        <v>131</v>
      </c>
      <c r="J212" s="7">
        <v>3</v>
      </c>
      <c r="K212" s="7">
        <f t="shared" si="16"/>
        <v>-39461</v>
      </c>
      <c r="L212" s="7">
        <f t="shared" si="15"/>
        <v>-15924</v>
      </c>
      <c r="M212" s="8">
        <f t="shared" si="18"/>
        <v>-0.39598803837353991</v>
      </c>
      <c r="N212" s="8">
        <f t="shared" si="17"/>
        <v>-0.29573776580926736</v>
      </c>
      <c r="O212" s="7">
        <v>4602</v>
      </c>
      <c r="Q212" s="3"/>
      <c r="R212" s="3"/>
      <c r="S212" s="6"/>
      <c r="T212" s="7"/>
      <c r="U212" s="7"/>
      <c r="V212" s="7"/>
      <c r="W212" s="7"/>
      <c r="X212" s="7"/>
      <c r="Y212" s="7"/>
      <c r="Z212" s="7"/>
      <c r="AA212" s="7"/>
      <c r="AB212" s="7"/>
      <c r="AC212" s="7"/>
      <c r="AD212" s="7"/>
      <c r="AE212" s="8"/>
      <c r="AF212" s="8"/>
      <c r="AG212" s="7"/>
    </row>
    <row r="213" spans="1:33" ht="19.7" customHeight="1" x14ac:dyDescent="0.25">
      <c r="A213" s="6">
        <f t="shared" si="20"/>
        <v>41328</v>
      </c>
      <c r="B213" s="7">
        <f t="shared" si="19"/>
        <v>58474</v>
      </c>
      <c r="C213" s="7">
        <v>36820</v>
      </c>
      <c r="D213" s="7">
        <v>449</v>
      </c>
      <c r="E213" s="7">
        <v>326</v>
      </c>
      <c r="F213" s="7">
        <v>9699</v>
      </c>
      <c r="G213" s="7">
        <v>6977</v>
      </c>
      <c r="H213" s="7">
        <v>4083</v>
      </c>
      <c r="I213" s="7">
        <v>117</v>
      </c>
      <c r="J213" s="7">
        <v>3</v>
      </c>
      <c r="K213" s="7">
        <f t="shared" si="16"/>
        <v>-39637</v>
      </c>
      <c r="L213" s="7">
        <f t="shared" si="15"/>
        <v>-16159</v>
      </c>
      <c r="M213" s="8">
        <f t="shared" si="18"/>
        <v>-0.40400159003577585</v>
      </c>
      <c r="N213" s="8">
        <f t="shared" si="17"/>
        <v>-0.30500764453840201</v>
      </c>
      <c r="O213" s="7">
        <v>4287</v>
      </c>
      <c r="Q213" s="3"/>
      <c r="R213" s="3"/>
      <c r="S213" s="6"/>
      <c r="T213" s="7"/>
      <c r="U213" s="7"/>
      <c r="V213" s="7"/>
      <c r="W213" s="7"/>
      <c r="X213" s="7"/>
      <c r="Y213" s="7"/>
      <c r="Z213" s="7"/>
      <c r="AA213" s="7"/>
      <c r="AB213" s="7"/>
      <c r="AC213" s="7"/>
      <c r="AD213" s="7"/>
      <c r="AE213" s="8"/>
      <c r="AF213" s="8"/>
      <c r="AG213" s="7"/>
    </row>
    <row r="214" spans="1:33" ht="19.7" customHeight="1" x14ac:dyDescent="0.25">
      <c r="A214" s="6">
        <f t="shared" si="20"/>
        <v>41335</v>
      </c>
      <c r="B214" s="7">
        <f t="shared" si="19"/>
        <v>61449</v>
      </c>
      <c r="C214" s="7">
        <v>38296</v>
      </c>
      <c r="D214" s="7">
        <v>459</v>
      </c>
      <c r="E214" s="7">
        <v>326</v>
      </c>
      <c r="F214" s="7">
        <v>10389</v>
      </c>
      <c r="G214" s="7">
        <v>7439</v>
      </c>
      <c r="H214" s="7">
        <v>4331</v>
      </c>
      <c r="I214" s="7">
        <v>206</v>
      </c>
      <c r="J214" s="7">
        <v>3</v>
      </c>
      <c r="K214" s="7">
        <f t="shared" si="16"/>
        <v>-36311</v>
      </c>
      <c r="L214" s="7">
        <f t="shared" si="15"/>
        <v>-14006</v>
      </c>
      <c r="M214" s="8">
        <f t="shared" si="18"/>
        <v>-0.37143003273322417</v>
      </c>
      <c r="N214" s="8">
        <f t="shared" si="17"/>
        <v>-0.26779090665748917</v>
      </c>
      <c r="O214" s="7">
        <v>4395</v>
      </c>
      <c r="Q214" s="3"/>
      <c r="R214" s="3"/>
      <c r="S214" s="6"/>
      <c r="T214" s="7"/>
      <c r="U214" s="7"/>
      <c r="V214" s="7"/>
      <c r="W214" s="7"/>
      <c r="X214" s="7"/>
      <c r="Y214" s="7"/>
      <c r="Z214" s="7"/>
      <c r="AA214" s="7"/>
      <c r="AB214" s="7"/>
      <c r="AC214" s="7"/>
      <c r="AD214" s="7"/>
      <c r="AE214" s="8"/>
      <c r="AF214" s="8"/>
      <c r="AG214" s="7"/>
    </row>
    <row r="215" spans="1:33" ht="19.7" customHeight="1" x14ac:dyDescent="0.25">
      <c r="A215" s="6">
        <f t="shared" si="20"/>
        <v>41342</v>
      </c>
      <c r="B215" s="7">
        <f t="shared" si="19"/>
        <v>59773</v>
      </c>
      <c r="C215" s="7">
        <v>37506</v>
      </c>
      <c r="D215" s="7">
        <v>442</v>
      </c>
      <c r="E215" s="7">
        <v>344</v>
      </c>
      <c r="F215" s="7">
        <v>9904</v>
      </c>
      <c r="G215" s="7">
        <v>7178</v>
      </c>
      <c r="H215" s="7">
        <v>4210</v>
      </c>
      <c r="I215" s="7">
        <v>186</v>
      </c>
      <c r="J215" s="7">
        <v>3</v>
      </c>
      <c r="K215" s="7">
        <f t="shared" si="16"/>
        <v>-37365</v>
      </c>
      <c r="L215" s="7">
        <f t="shared" si="15"/>
        <v>-14417</v>
      </c>
      <c r="M215" s="8">
        <f t="shared" si="18"/>
        <v>-0.38465893882929436</v>
      </c>
      <c r="N215" s="8">
        <f t="shared" si="17"/>
        <v>-0.27766115209059572</v>
      </c>
      <c r="O215" s="7">
        <v>4379</v>
      </c>
      <c r="Q215" s="3"/>
      <c r="R215" s="3"/>
      <c r="S215" s="6"/>
      <c r="T215" s="7"/>
      <c r="U215" s="7"/>
      <c r="V215" s="7"/>
      <c r="W215" s="7"/>
      <c r="X215" s="7"/>
      <c r="Y215" s="7"/>
      <c r="Z215" s="7"/>
      <c r="AA215" s="7"/>
      <c r="AB215" s="7"/>
      <c r="AC215" s="7"/>
      <c r="AD215" s="7"/>
      <c r="AE215" s="8"/>
      <c r="AF215" s="8"/>
      <c r="AG215" s="7"/>
    </row>
    <row r="216" spans="1:33" ht="19.7" customHeight="1" x14ac:dyDescent="0.25">
      <c r="A216" s="6">
        <f t="shared" si="20"/>
        <v>41349</v>
      </c>
      <c r="B216" s="7">
        <f t="shared" si="19"/>
        <v>58929</v>
      </c>
      <c r="C216" s="7">
        <v>36673</v>
      </c>
      <c r="D216" s="7">
        <v>436</v>
      </c>
      <c r="E216" s="7">
        <v>358</v>
      </c>
      <c r="F216" s="7">
        <v>10069</v>
      </c>
      <c r="G216" s="7">
        <v>6969</v>
      </c>
      <c r="H216" s="7">
        <v>4239</v>
      </c>
      <c r="I216" s="7">
        <v>182</v>
      </c>
      <c r="J216" s="7">
        <v>3</v>
      </c>
      <c r="K216" s="7">
        <f>IF(B216=0,"",B216-B164)</f>
        <v>-38201</v>
      </c>
      <c r="L216" s="7">
        <f t="shared" si="15"/>
        <v>-14509</v>
      </c>
      <c r="M216" s="8">
        <f t="shared" si="18"/>
        <v>-0.39329764233501496</v>
      </c>
      <c r="N216" s="8">
        <f t="shared" si="17"/>
        <v>-0.28347856668359972</v>
      </c>
      <c r="O216" s="7">
        <v>4250</v>
      </c>
      <c r="Q216" s="3"/>
      <c r="R216" s="3"/>
      <c r="S216" s="6"/>
      <c r="T216" s="7"/>
      <c r="U216" s="7"/>
      <c r="V216" s="7"/>
      <c r="W216" s="7"/>
      <c r="X216" s="7"/>
      <c r="Y216" s="7"/>
      <c r="Z216" s="7"/>
      <c r="AA216" s="7"/>
      <c r="AB216" s="7"/>
      <c r="AC216" s="7"/>
      <c r="AD216" s="7"/>
      <c r="AE216" s="8"/>
      <c r="AF216" s="8"/>
      <c r="AG216" s="7"/>
    </row>
    <row r="217" spans="1:33" ht="19.7" customHeight="1" x14ac:dyDescent="0.25">
      <c r="A217" s="6">
        <f t="shared" si="20"/>
        <v>41356</v>
      </c>
      <c r="B217" s="7">
        <f t="shared" si="19"/>
        <v>57720</v>
      </c>
      <c r="C217" s="7">
        <v>35934</v>
      </c>
      <c r="D217" s="7">
        <v>400</v>
      </c>
      <c r="E217" s="7">
        <v>353</v>
      </c>
      <c r="F217" s="7">
        <v>9853</v>
      </c>
      <c r="G217" s="7">
        <v>6669</v>
      </c>
      <c r="H217" s="7">
        <v>4351</v>
      </c>
      <c r="I217" s="7">
        <v>156</v>
      </c>
      <c r="J217" s="7">
        <v>4</v>
      </c>
      <c r="K217" s="7">
        <f t="shared" si="16"/>
        <v>-39615</v>
      </c>
      <c r="L217" s="7">
        <f t="shared" si="15"/>
        <v>-14753</v>
      </c>
      <c r="M217" s="8">
        <f t="shared" si="18"/>
        <v>-0.40699645554014485</v>
      </c>
      <c r="N217" s="8">
        <f t="shared" si="17"/>
        <v>-0.29106082427446878</v>
      </c>
      <c r="O217" s="7">
        <v>4514</v>
      </c>
      <c r="Q217" s="3"/>
      <c r="R217" s="3"/>
      <c r="S217" s="6"/>
      <c r="T217" s="7"/>
      <c r="U217" s="7"/>
      <c r="V217" s="7"/>
      <c r="W217" s="7"/>
      <c r="X217" s="7"/>
      <c r="Y217" s="7"/>
      <c r="Z217" s="7"/>
      <c r="AA217" s="7"/>
      <c r="AB217" s="7"/>
      <c r="AC217" s="7"/>
      <c r="AD217" s="7"/>
      <c r="AE217" s="8"/>
      <c r="AF217" s="8"/>
      <c r="AG217" s="7"/>
    </row>
    <row r="218" spans="1:33" ht="19.7" customHeight="1" x14ac:dyDescent="0.25">
      <c r="A218" s="6">
        <f t="shared" si="20"/>
        <v>41363</v>
      </c>
      <c r="B218" s="7">
        <f t="shared" si="19"/>
        <v>58190</v>
      </c>
      <c r="C218" s="7">
        <v>36082</v>
      </c>
      <c r="D218" s="7">
        <v>397</v>
      </c>
      <c r="E218" s="7">
        <v>329</v>
      </c>
      <c r="F218" s="7">
        <v>10075</v>
      </c>
      <c r="G218" s="7">
        <v>6497</v>
      </c>
      <c r="H218" s="7">
        <v>4646</v>
      </c>
      <c r="I218" s="7">
        <v>163</v>
      </c>
      <c r="J218" s="7">
        <v>1</v>
      </c>
      <c r="K218" s="7">
        <f t="shared" si="16"/>
        <v>-39516</v>
      </c>
      <c r="L218" s="7">
        <f t="shared" si="15"/>
        <v>-14347</v>
      </c>
      <c r="M218" s="8">
        <f t="shared" si="18"/>
        <v>-0.40443780320553502</v>
      </c>
      <c r="N218" s="8">
        <f t="shared" si="17"/>
        <v>-0.28449899859207994</v>
      </c>
      <c r="O218" s="7">
        <v>4768</v>
      </c>
      <c r="Q218" s="3"/>
      <c r="R218" s="3"/>
      <c r="S218" s="6"/>
      <c r="T218" s="7"/>
      <c r="U218" s="7"/>
      <c r="V218" s="7"/>
      <c r="W218" s="7"/>
      <c r="X218" s="7"/>
      <c r="Y218" s="7"/>
      <c r="Z218" s="7"/>
      <c r="AA218" s="7"/>
      <c r="AB218" s="7"/>
      <c r="AC218" s="7"/>
      <c r="AD218" s="7"/>
      <c r="AE218" s="8"/>
      <c r="AF218" s="8"/>
      <c r="AG218" s="7"/>
    </row>
    <row r="219" spans="1:33" ht="19.7" customHeight="1" x14ac:dyDescent="0.25">
      <c r="A219" s="6">
        <f t="shared" si="20"/>
        <v>41370</v>
      </c>
      <c r="B219" s="7">
        <f t="shared" si="19"/>
        <v>57414</v>
      </c>
      <c r="C219" s="7">
        <v>35612</v>
      </c>
      <c r="D219" s="7">
        <v>360</v>
      </c>
      <c r="E219" s="7">
        <v>342</v>
      </c>
      <c r="F219" s="7">
        <v>9791</v>
      </c>
      <c r="G219" s="7">
        <v>6262</v>
      </c>
      <c r="H219" s="7">
        <v>4877</v>
      </c>
      <c r="I219" s="7">
        <v>169</v>
      </c>
      <c r="J219" s="7">
        <v>1</v>
      </c>
      <c r="K219" s="7">
        <f t="shared" si="16"/>
        <v>-39815</v>
      </c>
      <c r="L219" s="7">
        <f t="shared" si="15"/>
        <v>-13976</v>
      </c>
      <c r="M219" s="8">
        <f t="shared" si="18"/>
        <v>-0.40949716648325085</v>
      </c>
      <c r="N219" s="8">
        <f t="shared" si="17"/>
        <v>-0.28184238122126326</v>
      </c>
      <c r="O219" s="7">
        <v>5926</v>
      </c>
      <c r="Q219" s="3"/>
      <c r="R219" s="3"/>
      <c r="S219" s="6"/>
      <c r="T219" s="7"/>
      <c r="U219" s="7"/>
      <c r="V219" s="7"/>
      <c r="W219" s="7"/>
      <c r="X219" s="7"/>
      <c r="Y219" s="7"/>
      <c r="Z219" s="7"/>
      <c r="AA219" s="7"/>
      <c r="AB219" s="7"/>
      <c r="AC219" s="7"/>
      <c r="AD219" s="7"/>
      <c r="AE219" s="8"/>
      <c r="AF219" s="8"/>
      <c r="AG219" s="7"/>
    </row>
    <row r="220" spans="1:33" ht="19.7" customHeight="1" x14ac:dyDescent="0.25">
      <c r="A220" s="6">
        <f t="shared" si="20"/>
        <v>41377</v>
      </c>
      <c r="B220" s="7">
        <f t="shared" si="19"/>
        <v>59439</v>
      </c>
      <c r="C220" s="7">
        <v>36671</v>
      </c>
      <c r="D220" s="7">
        <v>319</v>
      </c>
      <c r="E220" s="7">
        <v>370</v>
      </c>
      <c r="F220" s="7">
        <v>10163</v>
      </c>
      <c r="G220" s="7">
        <v>6408</v>
      </c>
      <c r="H220" s="7">
        <v>5275</v>
      </c>
      <c r="I220" s="7">
        <v>231</v>
      </c>
      <c r="J220" s="7">
        <v>2</v>
      </c>
      <c r="K220" s="7">
        <f t="shared" si="16"/>
        <v>-40834</v>
      </c>
      <c r="L220" s="7">
        <f t="shared" si="15"/>
        <v>-15502</v>
      </c>
      <c r="M220" s="8">
        <f t="shared" si="18"/>
        <v>-0.40722826683154989</v>
      </c>
      <c r="N220" s="8">
        <f t="shared" si="17"/>
        <v>-0.29712686638682839</v>
      </c>
      <c r="O220" s="7">
        <v>7222</v>
      </c>
      <c r="Q220" s="3"/>
      <c r="R220" s="3"/>
      <c r="S220" s="6"/>
      <c r="T220" s="7"/>
      <c r="U220" s="7"/>
      <c r="V220" s="7"/>
      <c r="W220" s="7"/>
      <c r="X220" s="7"/>
      <c r="Y220" s="7"/>
      <c r="Z220" s="7"/>
      <c r="AA220" s="7"/>
      <c r="AB220" s="7"/>
      <c r="AC220" s="7"/>
      <c r="AD220" s="7"/>
      <c r="AE220" s="8"/>
      <c r="AF220" s="8"/>
      <c r="AG220" s="7"/>
    </row>
    <row r="221" spans="1:33" ht="19.7" customHeight="1" x14ac:dyDescent="0.25">
      <c r="A221" s="6">
        <f t="shared" si="20"/>
        <v>41384</v>
      </c>
      <c r="B221" s="7">
        <f t="shared" si="19"/>
        <v>60659</v>
      </c>
      <c r="C221" s="7">
        <v>38563</v>
      </c>
      <c r="D221" s="7">
        <v>300</v>
      </c>
      <c r="E221" s="7">
        <v>364</v>
      </c>
      <c r="F221" s="7">
        <v>9766</v>
      </c>
      <c r="G221" s="7">
        <v>6230</v>
      </c>
      <c r="H221" s="7">
        <v>5228</v>
      </c>
      <c r="I221" s="7">
        <v>204</v>
      </c>
      <c r="J221" s="7">
        <v>4</v>
      </c>
      <c r="K221" s="7">
        <f t="shared" si="16"/>
        <v>-42382</v>
      </c>
      <c r="L221" s="7">
        <f t="shared" si="15"/>
        <v>-15637</v>
      </c>
      <c r="M221" s="8">
        <f t="shared" si="18"/>
        <v>-0.41131200201861395</v>
      </c>
      <c r="N221" s="8">
        <f t="shared" si="17"/>
        <v>-0.28850553505535059</v>
      </c>
      <c r="O221" s="7">
        <v>6772</v>
      </c>
      <c r="Q221" s="3"/>
      <c r="R221" s="3"/>
      <c r="S221" s="6"/>
      <c r="T221" s="7"/>
      <c r="U221" s="7"/>
      <c r="V221" s="7"/>
      <c r="W221" s="7"/>
      <c r="X221" s="7"/>
      <c r="Y221" s="7"/>
      <c r="Z221" s="7"/>
      <c r="AA221" s="7"/>
      <c r="AB221" s="7"/>
      <c r="AC221" s="7"/>
      <c r="AD221" s="7"/>
      <c r="AE221" s="8"/>
      <c r="AF221" s="8"/>
      <c r="AG221" s="7"/>
    </row>
    <row r="222" spans="1:33" ht="19.7" customHeight="1" x14ac:dyDescent="0.25">
      <c r="A222" s="6">
        <f t="shared" si="20"/>
        <v>41391</v>
      </c>
      <c r="B222" s="7">
        <f t="shared" si="19"/>
        <v>62916</v>
      </c>
      <c r="C222" s="7">
        <v>40593</v>
      </c>
      <c r="D222" s="7">
        <v>265</v>
      </c>
      <c r="E222" s="7">
        <v>336</v>
      </c>
      <c r="F222" s="7">
        <v>9924</v>
      </c>
      <c r="G222" s="7">
        <v>6207</v>
      </c>
      <c r="H222" s="7">
        <v>5388</v>
      </c>
      <c r="I222" s="7">
        <v>198</v>
      </c>
      <c r="J222" s="7">
        <v>5</v>
      </c>
      <c r="K222" s="7">
        <f t="shared" si="16"/>
        <v>-41744</v>
      </c>
      <c r="L222" s="7">
        <f t="shared" si="15"/>
        <v>-14939</v>
      </c>
      <c r="M222" s="8">
        <f t="shared" si="18"/>
        <v>-0.39885343015478691</v>
      </c>
      <c r="N222" s="8">
        <f t="shared" si="17"/>
        <v>-0.26901606281063173</v>
      </c>
      <c r="O222" s="7">
        <v>5427</v>
      </c>
      <c r="Q222" s="3"/>
      <c r="R222" s="3"/>
      <c r="S222" s="6"/>
      <c r="T222" s="7"/>
      <c r="U222" s="7"/>
      <c r="V222" s="7"/>
      <c r="W222" s="7"/>
      <c r="X222" s="7"/>
      <c r="Y222" s="7"/>
      <c r="Z222" s="7"/>
      <c r="AA222" s="7"/>
      <c r="AB222" s="7"/>
      <c r="AC222" s="7"/>
      <c r="AD222" s="7"/>
      <c r="AE222" s="8"/>
      <c r="AF222" s="8"/>
      <c r="AG222" s="7"/>
    </row>
    <row r="223" spans="1:33" ht="19.7" customHeight="1" x14ac:dyDescent="0.25">
      <c r="A223" s="6">
        <f t="shared" si="20"/>
        <v>41398</v>
      </c>
      <c r="B223" s="7">
        <f t="shared" si="19"/>
        <v>63746</v>
      </c>
      <c r="C223" s="7">
        <v>41817</v>
      </c>
      <c r="D223" s="7">
        <v>243</v>
      </c>
      <c r="E223" s="7">
        <v>349</v>
      </c>
      <c r="F223" s="7">
        <v>9661</v>
      </c>
      <c r="G223" s="7">
        <v>6132</v>
      </c>
      <c r="H223" s="7">
        <v>5359</v>
      </c>
      <c r="I223" s="7">
        <v>180</v>
      </c>
      <c r="J223" s="7">
        <v>5</v>
      </c>
      <c r="K223" s="7">
        <f t="shared" si="16"/>
        <v>-42006</v>
      </c>
      <c r="L223" s="7">
        <f t="shared" si="15"/>
        <v>-14419</v>
      </c>
      <c r="M223" s="8">
        <f t="shared" si="18"/>
        <v>-0.39721234586579923</v>
      </c>
      <c r="N223" s="8">
        <f t="shared" si="17"/>
        <v>-0.25640159328543988</v>
      </c>
      <c r="O223" s="7">
        <v>5048</v>
      </c>
      <c r="Q223" s="3"/>
      <c r="R223" s="3"/>
      <c r="S223" s="6"/>
      <c r="T223" s="7"/>
      <c r="U223" s="7"/>
      <c r="V223" s="7"/>
      <c r="W223" s="7"/>
      <c r="X223" s="7"/>
      <c r="Y223" s="7"/>
      <c r="Z223" s="7"/>
      <c r="AA223" s="7"/>
      <c r="AB223" s="7"/>
      <c r="AC223" s="7"/>
      <c r="AD223" s="7"/>
      <c r="AE223" s="8"/>
      <c r="AF223" s="8"/>
      <c r="AG223" s="7"/>
    </row>
    <row r="224" spans="1:33" ht="19.7" customHeight="1" x14ac:dyDescent="0.25">
      <c r="A224" s="6">
        <f t="shared" si="20"/>
        <v>41405</v>
      </c>
      <c r="B224" s="7">
        <f t="shared" si="19"/>
        <v>63701</v>
      </c>
      <c r="C224" s="7">
        <v>41767</v>
      </c>
      <c r="D224" s="7">
        <v>232</v>
      </c>
      <c r="E224" s="7">
        <v>328</v>
      </c>
      <c r="F224" s="7">
        <v>9664</v>
      </c>
      <c r="G224" s="7">
        <v>6133</v>
      </c>
      <c r="H224" s="7">
        <v>5389</v>
      </c>
      <c r="I224" s="7">
        <v>182</v>
      </c>
      <c r="J224" s="7">
        <v>6</v>
      </c>
      <c r="K224" s="7">
        <f t="shared" si="16"/>
        <v>-41892</v>
      </c>
      <c r="L224" s="7">
        <f t="shared" si="15"/>
        <v>-14407</v>
      </c>
      <c r="M224" s="8">
        <f t="shared" si="18"/>
        <v>-0.3967308439006374</v>
      </c>
      <c r="N224" s="8">
        <f t="shared" si="17"/>
        <v>-0.25647096521522417</v>
      </c>
      <c r="O224" s="7">
        <v>4937</v>
      </c>
      <c r="Q224" s="3"/>
      <c r="R224" s="3"/>
      <c r="S224" s="6"/>
      <c r="T224" s="7"/>
      <c r="U224" s="7"/>
      <c r="V224" s="7"/>
      <c r="W224" s="7"/>
      <c r="X224" s="7"/>
      <c r="Y224" s="7"/>
      <c r="Z224" s="7"/>
      <c r="AA224" s="7"/>
      <c r="AB224" s="7"/>
      <c r="AC224" s="7"/>
      <c r="AD224" s="7"/>
      <c r="AE224" s="8"/>
      <c r="AF224" s="8"/>
      <c r="AG224" s="7"/>
    </row>
    <row r="225" spans="1:33" ht="19.7" customHeight="1" x14ac:dyDescent="0.25">
      <c r="A225" s="6">
        <f t="shared" si="20"/>
        <v>41412</v>
      </c>
      <c r="B225" s="7">
        <f t="shared" si="19"/>
        <v>63877</v>
      </c>
      <c r="C225" s="7">
        <v>42179</v>
      </c>
      <c r="D225" s="7">
        <v>203</v>
      </c>
      <c r="E225" s="7">
        <v>333</v>
      </c>
      <c r="F225" s="7">
        <v>9499</v>
      </c>
      <c r="G225" s="7">
        <v>6150</v>
      </c>
      <c r="H225" s="7">
        <v>5342</v>
      </c>
      <c r="I225" s="7">
        <v>165</v>
      </c>
      <c r="J225" s="7">
        <v>6</v>
      </c>
      <c r="K225" s="7">
        <f t="shared" si="16"/>
        <v>-42252</v>
      </c>
      <c r="L225" s="7">
        <f t="shared" si="15"/>
        <v>-14460</v>
      </c>
      <c r="M225" s="8">
        <f t="shared" si="18"/>
        <v>-0.39811926994506686</v>
      </c>
      <c r="N225" s="8">
        <f t="shared" si="17"/>
        <v>-0.25530111760447749</v>
      </c>
      <c r="O225" s="7">
        <v>4814</v>
      </c>
      <c r="Q225" s="3"/>
      <c r="R225" s="3"/>
      <c r="S225" s="6"/>
      <c r="T225" s="7"/>
      <c r="U225" s="7"/>
      <c r="V225" s="7"/>
      <c r="W225" s="7"/>
      <c r="X225" s="7"/>
      <c r="Y225" s="7"/>
      <c r="Z225" s="7"/>
      <c r="AA225" s="7"/>
      <c r="AB225" s="7"/>
      <c r="AC225" s="7"/>
      <c r="AD225" s="7"/>
      <c r="AE225" s="8"/>
      <c r="AF225" s="8"/>
      <c r="AG225" s="7"/>
    </row>
    <row r="226" spans="1:33" ht="19.7" customHeight="1" x14ac:dyDescent="0.25">
      <c r="A226" s="6">
        <f t="shared" si="20"/>
        <v>41419</v>
      </c>
      <c r="B226" s="7">
        <f t="shared" si="19"/>
        <v>63761</v>
      </c>
      <c r="C226" s="7">
        <v>42064</v>
      </c>
      <c r="D226" s="7">
        <v>190</v>
      </c>
      <c r="E226" s="7">
        <v>345</v>
      </c>
      <c r="F226" s="7">
        <v>9519</v>
      </c>
      <c r="G226" s="7">
        <v>6072</v>
      </c>
      <c r="H226" s="7">
        <v>5408</v>
      </c>
      <c r="I226" s="7">
        <v>157</v>
      </c>
      <c r="J226" s="7">
        <v>6</v>
      </c>
      <c r="K226" s="7">
        <f t="shared" si="16"/>
        <v>-41903</v>
      </c>
      <c r="L226" s="7">
        <f t="shared" si="15"/>
        <v>-14480</v>
      </c>
      <c r="M226" s="8">
        <f t="shared" si="18"/>
        <v>-0.39656836765596604</v>
      </c>
      <c r="N226" s="8">
        <f t="shared" si="17"/>
        <v>-0.25608375778155068</v>
      </c>
      <c r="O226" s="7">
        <v>5253</v>
      </c>
      <c r="Q226" s="3"/>
      <c r="R226" s="3"/>
      <c r="S226" s="6"/>
      <c r="T226" s="7"/>
      <c r="U226" s="7"/>
      <c r="V226" s="7"/>
      <c r="W226" s="7"/>
      <c r="X226" s="7"/>
      <c r="Y226" s="7"/>
      <c r="Z226" s="7"/>
      <c r="AA226" s="7"/>
      <c r="AB226" s="7"/>
      <c r="AC226" s="7"/>
      <c r="AD226" s="7"/>
      <c r="AE226" s="8"/>
      <c r="AF226" s="8"/>
      <c r="AG226" s="7"/>
    </row>
    <row r="227" spans="1:33" ht="19.7" customHeight="1" x14ac:dyDescent="0.25">
      <c r="A227" s="6">
        <f t="shared" si="20"/>
        <v>41426</v>
      </c>
      <c r="B227" s="7">
        <f t="shared" si="19"/>
        <v>61660</v>
      </c>
      <c r="C227" s="7">
        <v>40848</v>
      </c>
      <c r="D227" s="7">
        <v>227</v>
      </c>
      <c r="E227" s="7">
        <v>318</v>
      </c>
      <c r="F227" s="7">
        <v>9125</v>
      </c>
      <c r="G227" s="7">
        <v>5883</v>
      </c>
      <c r="H227" s="7">
        <v>5098</v>
      </c>
      <c r="I227" s="7">
        <v>154</v>
      </c>
      <c r="J227" s="7">
        <v>7</v>
      </c>
      <c r="K227" s="7">
        <f t="shared" si="16"/>
        <v>-42842</v>
      </c>
      <c r="L227" s="7">
        <f t="shared" si="15"/>
        <v>-15130</v>
      </c>
      <c r="M227" s="8">
        <f t="shared" si="18"/>
        <v>-0.40996344567568088</v>
      </c>
      <c r="N227" s="8">
        <f t="shared" si="17"/>
        <v>-0.27028475472507052</v>
      </c>
      <c r="O227" s="7">
        <v>5365</v>
      </c>
      <c r="Q227" s="3"/>
      <c r="R227" s="3"/>
      <c r="S227" s="6"/>
      <c r="T227" s="7"/>
      <c r="U227" s="7"/>
      <c r="V227" s="7"/>
      <c r="W227" s="7"/>
      <c r="X227" s="7"/>
      <c r="Y227" s="7"/>
      <c r="Z227" s="7"/>
      <c r="AA227" s="7"/>
      <c r="AB227" s="7"/>
      <c r="AC227" s="7"/>
      <c r="AD227" s="7"/>
      <c r="AE227" s="8"/>
      <c r="AF227" s="8"/>
      <c r="AG227" s="7"/>
    </row>
    <row r="228" spans="1:33" ht="19.7" customHeight="1" x14ac:dyDescent="0.25">
      <c r="A228" s="6">
        <f t="shared" si="20"/>
        <v>41433</v>
      </c>
      <c r="B228" s="7">
        <f t="shared" si="19"/>
        <v>63926</v>
      </c>
      <c r="C228" s="7">
        <v>42828</v>
      </c>
      <c r="D228" s="7">
        <v>361</v>
      </c>
      <c r="E228" s="7">
        <v>344</v>
      </c>
      <c r="F228" s="7">
        <v>9170</v>
      </c>
      <c r="G228" s="7">
        <v>5953</v>
      </c>
      <c r="H228" s="7">
        <v>5121</v>
      </c>
      <c r="I228" s="7">
        <v>143</v>
      </c>
      <c r="J228" s="7">
        <v>6</v>
      </c>
      <c r="K228" s="7">
        <f t="shared" si="16"/>
        <v>-42124</v>
      </c>
      <c r="L228" s="7">
        <f t="shared" si="15"/>
        <v>-14831</v>
      </c>
      <c r="M228" s="8">
        <f t="shared" si="18"/>
        <v>-0.39720886374351716</v>
      </c>
      <c r="N228" s="8">
        <f t="shared" si="17"/>
        <v>-0.2572191678662481</v>
      </c>
      <c r="O228" s="7">
        <v>5991</v>
      </c>
      <c r="Q228" s="3"/>
      <c r="R228" s="3"/>
      <c r="S228" s="6"/>
      <c r="T228" s="7"/>
      <c r="U228" s="7"/>
      <c r="V228" s="7"/>
      <c r="W228" s="7"/>
      <c r="X228" s="7"/>
      <c r="Y228" s="7"/>
      <c r="Z228" s="7"/>
      <c r="AA228" s="7"/>
      <c r="AB228" s="7"/>
      <c r="AC228" s="7"/>
      <c r="AD228" s="7"/>
      <c r="AE228" s="8"/>
      <c r="AF228" s="8"/>
      <c r="AG228" s="7"/>
    </row>
    <row r="229" spans="1:33" ht="19.7" customHeight="1" x14ac:dyDescent="0.25">
      <c r="A229" s="6">
        <f t="shared" si="20"/>
        <v>41440</v>
      </c>
      <c r="B229" s="7">
        <f t="shared" si="19"/>
        <v>64616</v>
      </c>
      <c r="C229" s="7">
        <v>43625</v>
      </c>
      <c r="D229" s="7">
        <v>394</v>
      </c>
      <c r="E229" s="7">
        <v>323</v>
      </c>
      <c r="F229" s="7">
        <v>9230</v>
      </c>
      <c r="G229" s="7">
        <v>5952</v>
      </c>
      <c r="H229" s="7">
        <v>4938</v>
      </c>
      <c r="I229" s="7">
        <v>148</v>
      </c>
      <c r="J229" s="7">
        <v>6</v>
      </c>
      <c r="K229" s="7">
        <f t="shared" si="16"/>
        <v>-42094</v>
      </c>
      <c r="L229" s="7">
        <f t="shared" si="15"/>
        <v>-14967</v>
      </c>
      <c r="M229" s="8">
        <f t="shared" si="18"/>
        <v>-0.39447099615781089</v>
      </c>
      <c r="N229" s="8">
        <f t="shared" si="17"/>
        <v>-0.25544442927362099</v>
      </c>
      <c r="O229" s="7">
        <v>5240</v>
      </c>
      <c r="Q229" s="3"/>
      <c r="R229" s="3"/>
      <c r="S229" s="6"/>
      <c r="T229" s="7"/>
      <c r="U229" s="7"/>
      <c r="V229" s="7"/>
      <c r="W229" s="7"/>
      <c r="X229" s="7"/>
      <c r="Y229" s="7"/>
      <c r="Z229" s="7"/>
      <c r="AA229" s="7"/>
      <c r="AB229" s="7"/>
      <c r="AC229" s="7"/>
      <c r="AD229" s="7"/>
      <c r="AE229" s="8"/>
      <c r="AF229" s="8"/>
      <c r="AG229" s="7"/>
    </row>
    <row r="230" spans="1:33" ht="19.7" customHeight="1" x14ac:dyDescent="0.25">
      <c r="A230" s="6">
        <f t="shared" si="20"/>
        <v>41447</v>
      </c>
      <c r="B230" s="7">
        <f t="shared" si="19"/>
        <v>64308</v>
      </c>
      <c r="C230" s="7">
        <v>43818</v>
      </c>
      <c r="D230" s="7">
        <v>427</v>
      </c>
      <c r="E230" s="7">
        <v>337</v>
      </c>
      <c r="F230" s="7">
        <v>9036</v>
      </c>
      <c r="G230" s="7">
        <v>5918</v>
      </c>
      <c r="H230" s="7">
        <v>4639</v>
      </c>
      <c r="I230" s="7">
        <v>128</v>
      </c>
      <c r="J230" s="7">
        <v>5</v>
      </c>
      <c r="K230" s="7">
        <f t="shared" si="16"/>
        <v>-41785</v>
      </c>
      <c r="L230" s="7">
        <f t="shared" si="15"/>
        <v>-14687</v>
      </c>
      <c r="M230" s="8">
        <f t="shared" si="18"/>
        <v>-0.39385256331708973</v>
      </c>
      <c r="N230" s="8">
        <f t="shared" si="17"/>
        <v>-0.25103837278865049</v>
      </c>
      <c r="O230" s="7">
        <v>5400</v>
      </c>
      <c r="Q230" s="3"/>
      <c r="R230" s="3"/>
      <c r="S230" s="6"/>
      <c r="T230" s="7"/>
      <c r="U230" s="7"/>
      <c r="V230" s="7"/>
      <c r="W230" s="7"/>
      <c r="X230" s="7"/>
      <c r="Y230" s="7"/>
      <c r="Z230" s="7"/>
      <c r="AA230" s="7"/>
      <c r="AB230" s="7"/>
      <c r="AC230" s="7"/>
      <c r="AD230" s="7"/>
      <c r="AE230" s="8"/>
      <c r="AF230" s="8"/>
      <c r="AG230" s="7"/>
    </row>
    <row r="231" spans="1:33" ht="19.7" customHeight="1" x14ac:dyDescent="0.25">
      <c r="A231" s="6">
        <f t="shared" si="20"/>
        <v>41454</v>
      </c>
      <c r="B231" s="7">
        <f t="shared" si="19"/>
        <v>64796</v>
      </c>
      <c r="C231" s="7">
        <v>44203</v>
      </c>
      <c r="D231" s="7">
        <v>458</v>
      </c>
      <c r="E231" s="7">
        <v>353</v>
      </c>
      <c r="F231" s="7">
        <v>9096</v>
      </c>
      <c r="G231" s="7">
        <v>5944</v>
      </c>
      <c r="H231" s="7">
        <v>4601</v>
      </c>
      <c r="I231" s="7">
        <v>135</v>
      </c>
      <c r="J231" s="7">
        <v>6</v>
      </c>
      <c r="K231" s="7">
        <f t="shared" si="16"/>
        <v>-41726</v>
      </c>
      <c r="L231" s="7">
        <f t="shared" si="15"/>
        <v>-14810</v>
      </c>
      <c r="M231" s="8">
        <f t="shared" si="18"/>
        <v>-0.39171251009181207</v>
      </c>
      <c r="N231" s="8">
        <f t="shared" si="17"/>
        <v>-0.25096165251724201</v>
      </c>
      <c r="O231" s="7">
        <v>5289</v>
      </c>
      <c r="Q231" s="3"/>
      <c r="R231" s="3"/>
      <c r="S231" s="6"/>
      <c r="T231" s="7"/>
      <c r="U231" s="7"/>
      <c r="V231" s="7"/>
      <c r="W231" s="7"/>
      <c r="X231" s="7"/>
      <c r="Y231" s="7"/>
      <c r="Z231" s="7"/>
      <c r="AA231" s="7"/>
      <c r="AB231" s="7"/>
      <c r="AC231" s="7"/>
      <c r="AD231" s="7"/>
      <c r="AE231" s="8"/>
      <c r="AF231" s="8"/>
      <c r="AG231" s="7"/>
    </row>
    <row r="232" spans="1:33" ht="19.7" customHeight="1" x14ac:dyDescent="0.25">
      <c r="A232" s="6">
        <f t="shared" si="20"/>
        <v>41461</v>
      </c>
      <c r="B232" s="7">
        <f t="shared" si="19"/>
        <v>62195</v>
      </c>
      <c r="C232" s="7">
        <v>42957</v>
      </c>
      <c r="D232" s="7">
        <v>440</v>
      </c>
      <c r="E232" s="7">
        <v>311</v>
      </c>
      <c r="F232" s="7">
        <v>8502</v>
      </c>
      <c r="G232" s="7">
        <v>5667</v>
      </c>
      <c r="H232" s="7">
        <v>4208</v>
      </c>
      <c r="I232" s="7">
        <v>103</v>
      </c>
      <c r="J232" s="7">
        <v>7</v>
      </c>
      <c r="K232" s="7">
        <f t="shared" si="16"/>
        <v>-41981</v>
      </c>
      <c r="L232" s="7">
        <f t="shared" si="15"/>
        <v>-15060</v>
      </c>
      <c r="M232" s="8">
        <f t="shared" si="18"/>
        <v>-0.40298149285823992</v>
      </c>
      <c r="N232" s="8">
        <f t="shared" si="17"/>
        <v>-0.25957908888773984</v>
      </c>
      <c r="O232" s="7">
        <v>5114</v>
      </c>
      <c r="Q232" s="3"/>
      <c r="R232" s="3"/>
      <c r="S232" s="6"/>
      <c r="T232" s="7"/>
      <c r="U232" s="7"/>
      <c r="V232" s="7"/>
      <c r="W232" s="7"/>
      <c r="X232" s="7"/>
      <c r="Y232" s="7"/>
      <c r="Z232" s="7"/>
      <c r="AA232" s="7"/>
      <c r="AB232" s="7"/>
      <c r="AC232" s="7"/>
      <c r="AD232" s="7"/>
      <c r="AE232" s="8"/>
      <c r="AF232" s="8"/>
      <c r="AG232" s="7"/>
    </row>
    <row r="233" spans="1:33" ht="19.7" customHeight="1" x14ac:dyDescent="0.25">
      <c r="A233" s="6">
        <f t="shared" si="20"/>
        <v>41468</v>
      </c>
      <c r="B233" s="7">
        <f t="shared" si="19"/>
        <v>66208</v>
      </c>
      <c r="C233" s="7">
        <v>46812</v>
      </c>
      <c r="D233" s="7">
        <v>522</v>
      </c>
      <c r="E233" s="7">
        <v>341</v>
      </c>
      <c r="F233" s="7">
        <v>8609</v>
      </c>
      <c r="G233" s="7">
        <v>5532</v>
      </c>
      <c r="H233" s="7">
        <v>4295</v>
      </c>
      <c r="I233" s="7">
        <v>91</v>
      </c>
      <c r="J233" s="7">
        <v>6</v>
      </c>
      <c r="K233" s="7">
        <f t="shared" si="16"/>
        <v>-40494</v>
      </c>
      <c r="L233" s="7">
        <f t="shared" si="15"/>
        <v>-15760</v>
      </c>
      <c r="M233" s="8">
        <f t="shared" si="18"/>
        <v>-0.37950553879027571</v>
      </c>
      <c r="N233" s="8">
        <f t="shared" si="17"/>
        <v>-0.25186984593748007</v>
      </c>
      <c r="O233" s="7">
        <v>6877</v>
      </c>
      <c r="Q233" s="3"/>
      <c r="R233" s="3"/>
      <c r="S233" s="6"/>
      <c r="T233" s="7"/>
      <c r="U233" s="7"/>
      <c r="V233" s="7"/>
      <c r="W233" s="7"/>
      <c r="X233" s="7"/>
      <c r="Y233" s="7"/>
      <c r="Z233" s="7"/>
      <c r="AA233" s="7"/>
      <c r="AB233" s="7"/>
      <c r="AC233" s="7"/>
      <c r="AD233" s="7"/>
      <c r="AE233" s="8"/>
      <c r="AF233" s="8"/>
      <c r="AG233" s="7"/>
    </row>
    <row r="234" spans="1:33" ht="19.7" customHeight="1" x14ac:dyDescent="0.25">
      <c r="A234" s="6">
        <f t="shared" si="20"/>
        <v>41475</v>
      </c>
      <c r="B234" s="7">
        <f t="shared" si="19"/>
        <v>66742</v>
      </c>
      <c r="C234" s="7">
        <v>47891</v>
      </c>
      <c r="D234" s="7">
        <v>532</v>
      </c>
      <c r="E234" s="7">
        <v>332</v>
      </c>
      <c r="F234" s="7">
        <v>8411</v>
      </c>
      <c r="G234" s="7">
        <v>5338</v>
      </c>
      <c r="H234" s="7">
        <v>4133</v>
      </c>
      <c r="I234" s="7">
        <v>92</v>
      </c>
      <c r="J234" s="7">
        <v>13</v>
      </c>
      <c r="K234" s="7">
        <f t="shared" si="16"/>
        <v>-39226</v>
      </c>
      <c r="L234" s="7">
        <f t="shared" si="15"/>
        <v>-15291</v>
      </c>
      <c r="M234" s="8">
        <f t="shared" si="18"/>
        <v>-0.37016835271025217</v>
      </c>
      <c r="N234" s="8">
        <f t="shared" si="17"/>
        <v>-0.24201513089170967</v>
      </c>
      <c r="O234" s="7">
        <v>5404</v>
      </c>
      <c r="Q234" s="3"/>
      <c r="R234" s="3"/>
      <c r="S234" s="6"/>
      <c r="T234" s="7"/>
      <c r="U234" s="7"/>
      <c r="V234" s="7"/>
      <c r="W234" s="7"/>
      <c r="X234" s="7"/>
      <c r="Y234" s="7"/>
      <c r="Z234" s="7"/>
      <c r="AA234" s="7"/>
      <c r="AB234" s="7"/>
      <c r="AC234" s="7"/>
      <c r="AD234" s="7"/>
      <c r="AE234" s="8"/>
      <c r="AF234" s="8"/>
      <c r="AG234" s="7"/>
    </row>
    <row r="235" spans="1:33" ht="19.7" customHeight="1" x14ac:dyDescent="0.25">
      <c r="A235" s="6">
        <f t="shared" si="20"/>
        <v>41482</v>
      </c>
      <c r="B235" s="7">
        <f t="shared" si="19"/>
        <v>66547</v>
      </c>
      <c r="C235" s="7">
        <v>48034</v>
      </c>
      <c r="D235" s="7">
        <v>498</v>
      </c>
      <c r="E235" s="7">
        <v>331</v>
      </c>
      <c r="F235" s="7">
        <v>8361</v>
      </c>
      <c r="G235" s="7">
        <v>5170</v>
      </c>
      <c r="H235" s="7">
        <v>4048</v>
      </c>
      <c r="I235" s="7">
        <v>99</v>
      </c>
      <c r="J235" s="7">
        <v>6</v>
      </c>
      <c r="K235" s="7">
        <f t="shared" si="16"/>
        <v>-37830</v>
      </c>
      <c r="L235" s="7">
        <f t="shared" si="15"/>
        <v>-14885</v>
      </c>
      <c r="M235" s="8">
        <f t="shared" si="18"/>
        <v>-0.36243616888778174</v>
      </c>
      <c r="N235" s="8">
        <f t="shared" si="17"/>
        <v>-0.2365740078513644</v>
      </c>
      <c r="O235" s="7">
        <v>4969</v>
      </c>
      <c r="Q235" s="3"/>
      <c r="R235" s="3"/>
      <c r="S235" s="6"/>
      <c r="T235" s="7"/>
      <c r="U235" s="7"/>
      <c r="V235" s="7"/>
      <c r="W235" s="7"/>
      <c r="X235" s="7"/>
      <c r="Y235" s="7"/>
      <c r="Z235" s="7"/>
      <c r="AA235" s="7"/>
      <c r="AB235" s="7"/>
      <c r="AC235" s="7"/>
      <c r="AD235" s="7"/>
      <c r="AE235" s="8"/>
      <c r="AF235" s="8"/>
      <c r="AG235" s="7"/>
    </row>
    <row r="236" spans="1:33" ht="19.7" customHeight="1" x14ac:dyDescent="0.25">
      <c r="A236" s="6">
        <f t="shared" si="20"/>
        <v>41489</v>
      </c>
      <c r="B236" s="7">
        <f t="shared" si="19"/>
        <v>66033</v>
      </c>
      <c r="C236" s="7">
        <v>47521</v>
      </c>
      <c r="D236" s="7">
        <v>533</v>
      </c>
      <c r="E236" s="7">
        <v>329</v>
      </c>
      <c r="F236" s="7">
        <v>8311</v>
      </c>
      <c r="G236" s="7">
        <v>5189</v>
      </c>
      <c r="H236" s="7">
        <v>4034</v>
      </c>
      <c r="I236" s="7">
        <v>109</v>
      </c>
      <c r="J236" s="7">
        <v>7</v>
      </c>
      <c r="K236" s="7">
        <f t="shared" si="16"/>
        <v>-35723</v>
      </c>
      <c r="L236" s="7">
        <f t="shared" si="15"/>
        <v>-14400</v>
      </c>
      <c r="M236" s="8">
        <f t="shared" si="18"/>
        <v>-0.35106529344706949</v>
      </c>
      <c r="N236" s="8">
        <f t="shared" si="17"/>
        <v>-0.23255438381163096</v>
      </c>
      <c r="O236" s="7">
        <v>4803</v>
      </c>
      <c r="Q236" s="3"/>
      <c r="R236" s="3"/>
      <c r="S236" s="6"/>
      <c r="T236" s="7"/>
      <c r="U236" s="7"/>
      <c r="V236" s="7"/>
      <c r="W236" s="7"/>
      <c r="X236" s="7"/>
      <c r="Y236" s="7"/>
      <c r="Z236" s="7"/>
      <c r="AA236" s="7"/>
      <c r="AB236" s="7"/>
      <c r="AC236" s="7"/>
      <c r="AD236" s="7"/>
      <c r="AE236" s="8"/>
      <c r="AF236" s="8"/>
      <c r="AG236" s="7"/>
    </row>
    <row r="237" spans="1:33" ht="19.7" customHeight="1" x14ac:dyDescent="0.25">
      <c r="A237" s="6">
        <f t="shared" si="20"/>
        <v>41496</v>
      </c>
      <c r="B237" s="7">
        <f t="shared" si="19"/>
        <v>64975</v>
      </c>
      <c r="C237" s="7">
        <v>46619</v>
      </c>
      <c r="D237" s="7">
        <v>360</v>
      </c>
      <c r="E237" s="7">
        <v>336</v>
      </c>
      <c r="F237" s="7">
        <v>8239</v>
      </c>
      <c r="G237" s="7">
        <v>5189</v>
      </c>
      <c r="H237" s="7">
        <v>4105</v>
      </c>
      <c r="I237" s="7">
        <v>118</v>
      </c>
      <c r="J237" s="7">
        <v>9</v>
      </c>
      <c r="K237" s="7">
        <f t="shared" si="16"/>
        <v>-33806</v>
      </c>
      <c r="L237" s="7">
        <f t="shared" si="15"/>
        <v>-13450</v>
      </c>
      <c r="M237" s="8">
        <f t="shared" si="18"/>
        <v>-0.3422318057116247</v>
      </c>
      <c r="N237" s="8">
        <f t="shared" si="17"/>
        <v>-0.22390917111987885</v>
      </c>
      <c r="O237" s="7">
        <v>4912</v>
      </c>
      <c r="Q237" s="3"/>
      <c r="R237" s="3"/>
      <c r="S237" s="6"/>
      <c r="T237" s="7"/>
      <c r="U237" s="7"/>
      <c r="V237" s="7"/>
      <c r="W237" s="7"/>
      <c r="X237" s="7"/>
      <c r="Y237" s="7"/>
      <c r="Z237" s="7"/>
      <c r="AA237" s="7"/>
      <c r="AB237" s="7"/>
      <c r="AC237" s="7"/>
      <c r="AD237" s="7"/>
      <c r="AE237" s="8"/>
      <c r="AF237" s="8"/>
      <c r="AG237" s="7"/>
    </row>
    <row r="238" spans="1:33" ht="19.7" customHeight="1" x14ac:dyDescent="0.25">
      <c r="A238" s="6">
        <f t="shared" si="20"/>
        <v>41503</v>
      </c>
      <c r="B238" s="7">
        <f t="shared" si="19"/>
        <v>64772</v>
      </c>
      <c r="C238" s="7">
        <v>46315</v>
      </c>
      <c r="D238" s="7">
        <v>274</v>
      </c>
      <c r="E238" s="7">
        <v>352</v>
      </c>
      <c r="F238" s="7">
        <v>8445</v>
      </c>
      <c r="G238" s="7">
        <v>5182</v>
      </c>
      <c r="H238" s="7">
        <v>4085</v>
      </c>
      <c r="I238" s="7">
        <v>114</v>
      </c>
      <c r="J238" s="7">
        <v>5</v>
      </c>
      <c r="K238" s="7">
        <f t="shared" si="16"/>
        <v>-16460</v>
      </c>
      <c r="L238" s="7">
        <f t="shared" si="15"/>
        <v>-4371</v>
      </c>
      <c r="M238" s="8">
        <f t="shared" si="18"/>
        <v>-0.20262950561355131</v>
      </c>
      <c r="N238" s="8">
        <f t="shared" si="17"/>
        <v>-8.6236830683028898E-2</v>
      </c>
      <c r="O238" s="7">
        <v>4972</v>
      </c>
      <c r="Q238" s="3"/>
      <c r="R238" s="3"/>
      <c r="S238" s="6"/>
      <c r="T238" s="7"/>
      <c r="U238" s="7"/>
      <c r="V238" s="7"/>
      <c r="W238" s="7"/>
      <c r="X238" s="7"/>
      <c r="Y238" s="7"/>
      <c r="Z238" s="7"/>
      <c r="AA238" s="7"/>
      <c r="AB238" s="7"/>
      <c r="AC238" s="7"/>
      <c r="AD238" s="7"/>
      <c r="AE238" s="8"/>
      <c r="AF238" s="8"/>
      <c r="AG238" s="7"/>
    </row>
    <row r="239" spans="1:33" ht="19.7" customHeight="1" x14ac:dyDescent="0.25">
      <c r="A239" s="6">
        <f t="shared" si="20"/>
        <v>41510</v>
      </c>
      <c r="B239" s="7">
        <f t="shared" si="19"/>
        <v>64858</v>
      </c>
      <c r="C239" s="7">
        <v>46091</v>
      </c>
      <c r="D239" s="7">
        <v>232</v>
      </c>
      <c r="E239" s="7">
        <v>347</v>
      </c>
      <c r="F239" s="7">
        <v>8611</v>
      </c>
      <c r="G239" s="7">
        <v>5237</v>
      </c>
      <c r="H239" s="7">
        <v>4202</v>
      </c>
      <c r="I239" s="7">
        <v>129</v>
      </c>
      <c r="J239" s="7">
        <v>9</v>
      </c>
      <c r="K239" s="7">
        <f t="shared" si="16"/>
        <v>-20251</v>
      </c>
      <c r="L239" s="7">
        <f t="shared" si="15"/>
        <v>-6586</v>
      </c>
      <c r="M239" s="8">
        <f t="shared" si="18"/>
        <v>-0.23794193328555147</v>
      </c>
      <c r="N239" s="8">
        <f t="shared" si="17"/>
        <v>-0.12502610247356527</v>
      </c>
      <c r="O239" s="7">
        <v>4671</v>
      </c>
      <c r="Q239" s="3"/>
      <c r="R239" s="3"/>
      <c r="S239" s="6"/>
      <c r="T239" s="7"/>
      <c r="U239" s="7"/>
      <c r="V239" s="7"/>
      <c r="W239" s="7"/>
      <c r="X239" s="7"/>
      <c r="Y239" s="7"/>
      <c r="Z239" s="7"/>
      <c r="AA239" s="7"/>
      <c r="AB239" s="7"/>
      <c r="AC239" s="7"/>
      <c r="AD239" s="7"/>
      <c r="AE239" s="8"/>
      <c r="AF239" s="8"/>
      <c r="AG239" s="7"/>
    </row>
    <row r="240" spans="1:33" ht="19.7" customHeight="1" x14ac:dyDescent="0.25">
      <c r="A240" s="6">
        <f t="shared" si="20"/>
        <v>41517</v>
      </c>
      <c r="B240" s="7">
        <f t="shared" si="19"/>
        <v>62700</v>
      </c>
      <c r="C240" s="7">
        <v>44054</v>
      </c>
      <c r="D240" s="7">
        <v>216</v>
      </c>
      <c r="E240" s="7">
        <v>327</v>
      </c>
      <c r="F240" s="7">
        <v>8622</v>
      </c>
      <c r="G240" s="7">
        <v>5145</v>
      </c>
      <c r="H240" s="7">
        <v>4192</v>
      </c>
      <c r="I240" s="7">
        <v>140</v>
      </c>
      <c r="J240" s="7">
        <v>4</v>
      </c>
      <c r="K240" s="7">
        <f t="shared" si="16"/>
        <v>-25669</v>
      </c>
      <c r="L240" s="7">
        <f t="shared" si="15"/>
        <v>-11373</v>
      </c>
      <c r="M240" s="8">
        <f t="shared" si="18"/>
        <v>-0.29047516663083206</v>
      </c>
      <c r="N240" s="8">
        <f t="shared" si="17"/>
        <v>-0.20518880689916463</v>
      </c>
      <c r="O240" s="7">
        <v>4492</v>
      </c>
      <c r="Q240" s="3"/>
      <c r="R240" s="3"/>
      <c r="S240" s="6"/>
      <c r="T240" s="7"/>
      <c r="U240" s="7"/>
      <c r="V240" s="7"/>
      <c r="W240" s="7"/>
      <c r="X240" s="7"/>
      <c r="Y240" s="7"/>
      <c r="Z240" s="7"/>
      <c r="AA240" s="7"/>
      <c r="AB240" s="7"/>
      <c r="AC240" s="7"/>
      <c r="AD240" s="7"/>
      <c r="AE240" s="8"/>
      <c r="AF240" s="8"/>
      <c r="AG240" s="7"/>
    </row>
    <row r="241" spans="1:33" ht="19.7" customHeight="1" x14ac:dyDescent="0.25">
      <c r="A241" s="6">
        <f t="shared" si="20"/>
        <v>41524</v>
      </c>
      <c r="B241" s="7">
        <f t="shared" si="19"/>
        <v>60085</v>
      </c>
      <c r="C241" s="7">
        <v>41969</v>
      </c>
      <c r="D241" s="7">
        <v>196</v>
      </c>
      <c r="E241" s="7">
        <v>318</v>
      </c>
      <c r="F241" s="7">
        <v>8318</v>
      </c>
      <c r="G241" s="7">
        <v>5026</v>
      </c>
      <c r="H241" s="7">
        <v>4131</v>
      </c>
      <c r="I241" s="7">
        <v>123</v>
      </c>
      <c r="J241" s="7">
        <v>4</v>
      </c>
      <c r="K241" s="7">
        <f t="shared" si="16"/>
        <v>-20295</v>
      </c>
      <c r="L241" s="7">
        <f t="shared" si="15"/>
        <v>-7085</v>
      </c>
      <c r="M241" s="8">
        <f t="shared" si="18"/>
        <v>-0.25248818113958693</v>
      </c>
      <c r="N241" s="8">
        <f t="shared" si="17"/>
        <v>-0.14443266604150529</v>
      </c>
      <c r="O241" s="7">
        <v>4059</v>
      </c>
      <c r="Q241" s="3"/>
      <c r="R241" s="3"/>
      <c r="S241" s="6"/>
      <c r="T241" s="7"/>
      <c r="U241" s="7"/>
      <c r="V241" s="7"/>
      <c r="W241" s="7"/>
      <c r="X241" s="7"/>
      <c r="Y241" s="7"/>
      <c r="Z241" s="7"/>
      <c r="AA241" s="7"/>
      <c r="AB241" s="7"/>
      <c r="AC241" s="7"/>
      <c r="AD241" s="7"/>
      <c r="AE241" s="8"/>
      <c r="AF241" s="8"/>
      <c r="AG241" s="7"/>
    </row>
    <row r="242" spans="1:33" ht="19.7" customHeight="1" x14ac:dyDescent="0.25">
      <c r="A242" s="6">
        <f t="shared" si="20"/>
        <v>41531</v>
      </c>
      <c r="B242" s="7">
        <f t="shared" si="19"/>
        <v>59638</v>
      </c>
      <c r="C242" s="7">
        <v>41290</v>
      </c>
      <c r="D242" s="7">
        <v>187</v>
      </c>
      <c r="E242" s="7">
        <v>316</v>
      </c>
      <c r="F242" s="7">
        <v>8512</v>
      </c>
      <c r="G242" s="7">
        <v>5036</v>
      </c>
      <c r="H242" s="7">
        <v>4183</v>
      </c>
      <c r="I242" s="7">
        <v>110</v>
      </c>
      <c r="J242" s="7">
        <v>4</v>
      </c>
      <c r="K242" s="7">
        <f t="shared" si="16"/>
        <v>-22545</v>
      </c>
      <c r="L242" s="7">
        <f t="shared" si="15"/>
        <v>-7641</v>
      </c>
      <c r="M242" s="8">
        <f t="shared" si="18"/>
        <v>-0.2743268072472409</v>
      </c>
      <c r="N242" s="8">
        <f t="shared" si="17"/>
        <v>-0.15615867241625958</v>
      </c>
      <c r="O242" s="7">
        <v>4265</v>
      </c>
      <c r="Q242" s="3"/>
      <c r="R242" s="3"/>
      <c r="S242" s="6"/>
      <c r="T242" s="7"/>
      <c r="U242" s="7"/>
      <c r="V242" s="7"/>
      <c r="W242" s="7"/>
      <c r="X242" s="7"/>
      <c r="Y242" s="7"/>
      <c r="Z242" s="7"/>
      <c r="AA242" s="7"/>
      <c r="AB242" s="7"/>
      <c r="AC242" s="7"/>
      <c r="AD242" s="7"/>
      <c r="AE242" s="8"/>
      <c r="AF242" s="8"/>
      <c r="AG242" s="7"/>
    </row>
    <row r="243" spans="1:33" ht="19.7" customHeight="1" x14ac:dyDescent="0.25">
      <c r="A243" s="6">
        <f t="shared" si="20"/>
        <v>41538</v>
      </c>
      <c r="B243" s="7">
        <f t="shared" si="19"/>
        <v>58986</v>
      </c>
      <c r="C243" s="7">
        <v>40896</v>
      </c>
      <c r="D243" s="7">
        <v>190</v>
      </c>
      <c r="E243" s="7">
        <v>317</v>
      </c>
      <c r="F243" s="7">
        <v>8386</v>
      </c>
      <c r="G243" s="7">
        <v>4995</v>
      </c>
      <c r="H243" s="7">
        <v>4064</v>
      </c>
      <c r="I243" s="7">
        <v>135</v>
      </c>
      <c r="J243" s="7">
        <v>3</v>
      </c>
      <c r="K243" s="7">
        <f t="shared" si="16"/>
        <v>-19467</v>
      </c>
      <c r="L243" s="7">
        <f t="shared" ref="L243:L267" si="21">IF(C243=0,"",C243-C191)</f>
        <v>-5846</v>
      </c>
      <c r="M243" s="8">
        <f t="shared" si="18"/>
        <v>-0.24813582654583</v>
      </c>
      <c r="N243" s="8">
        <f t="shared" si="17"/>
        <v>-0.12506953061486459</v>
      </c>
      <c r="O243" s="7">
        <v>4336</v>
      </c>
      <c r="Q243" s="3"/>
      <c r="R243" s="3"/>
      <c r="S243" s="6"/>
      <c r="T243" s="7"/>
      <c r="U243" s="7"/>
      <c r="V243" s="7"/>
      <c r="W243" s="7"/>
      <c r="X243" s="7"/>
      <c r="Y243" s="7"/>
      <c r="Z243" s="7"/>
      <c r="AA243" s="7"/>
      <c r="AB243" s="7"/>
      <c r="AC243" s="7"/>
      <c r="AD243" s="7"/>
      <c r="AE243" s="8"/>
      <c r="AF243" s="8"/>
      <c r="AG243" s="7"/>
    </row>
    <row r="244" spans="1:33" ht="19.7" customHeight="1" x14ac:dyDescent="0.25">
      <c r="A244" s="6">
        <f t="shared" si="20"/>
        <v>41545</v>
      </c>
      <c r="B244" s="7">
        <f t="shared" si="19"/>
        <v>58537</v>
      </c>
      <c r="C244" s="7">
        <v>40477</v>
      </c>
      <c r="D244" s="7">
        <v>178</v>
      </c>
      <c r="E244" s="7">
        <v>322</v>
      </c>
      <c r="F244" s="7">
        <v>8462</v>
      </c>
      <c r="G244" s="7">
        <v>4996</v>
      </c>
      <c r="H244" s="7">
        <v>3994</v>
      </c>
      <c r="I244" s="7">
        <v>105</v>
      </c>
      <c r="J244" s="7">
        <v>3</v>
      </c>
      <c r="K244" s="7">
        <f t="shared" ref="K244:K267" si="22">IF(B244=0,"",B244-B192)</f>
        <v>-18753</v>
      </c>
      <c r="L244" s="7">
        <f t="shared" si="21"/>
        <v>-5561</v>
      </c>
      <c r="M244" s="8">
        <f t="shared" si="18"/>
        <v>-0.24263164704360207</v>
      </c>
      <c r="N244" s="8">
        <f t="shared" si="17"/>
        <v>-0.12079152004865545</v>
      </c>
      <c r="O244" s="7">
        <v>4595</v>
      </c>
      <c r="Q244" s="3"/>
      <c r="R244" s="3"/>
      <c r="S244" s="6"/>
      <c r="T244" s="7"/>
      <c r="U244" s="7"/>
      <c r="V244" s="7"/>
      <c r="W244" s="7"/>
      <c r="X244" s="7"/>
      <c r="Y244" s="7"/>
      <c r="Z244" s="7"/>
      <c r="AA244" s="7"/>
      <c r="AB244" s="7"/>
      <c r="AC244" s="7"/>
      <c r="AD244" s="7"/>
      <c r="AE244" s="8"/>
      <c r="AF244" s="8"/>
      <c r="AG244" s="7"/>
    </row>
    <row r="245" spans="1:33" ht="19.7" customHeight="1" x14ac:dyDescent="0.25">
      <c r="A245" s="6">
        <f t="shared" si="20"/>
        <v>41552</v>
      </c>
      <c r="B245" s="7">
        <f t="shared" si="19"/>
        <v>57448</v>
      </c>
      <c r="C245" s="7">
        <v>39574</v>
      </c>
      <c r="D245" s="7">
        <v>205</v>
      </c>
      <c r="E245" s="7">
        <v>335</v>
      </c>
      <c r="F245" s="7">
        <v>8308</v>
      </c>
      <c r="G245" s="7">
        <v>5006</v>
      </c>
      <c r="H245" s="7">
        <v>3895</v>
      </c>
      <c r="I245" s="7">
        <v>122</v>
      </c>
      <c r="J245" s="7">
        <v>3</v>
      </c>
      <c r="K245" s="7">
        <f t="shared" si="22"/>
        <v>-16458</v>
      </c>
      <c r="L245" s="7">
        <f t="shared" si="21"/>
        <v>-4077</v>
      </c>
      <c r="M245" s="8">
        <f t="shared" si="18"/>
        <v>-0.22268827970665439</v>
      </c>
      <c r="N245" s="8">
        <f t="shared" si="17"/>
        <v>-9.3399922109459133E-2</v>
      </c>
      <c r="O245" s="7">
        <v>6062</v>
      </c>
      <c r="Q245" s="3"/>
      <c r="R245" s="3"/>
      <c r="S245" s="6"/>
      <c r="T245" s="7"/>
      <c r="U245" s="7"/>
      <c r="V245" s="7"/>
      <c r="W245" s="7"/>
      <c r="X245" s="7"/>
      <c r="Y245" s="7"/>
      <c r="Z245" s="7"/>
      <c r="AA245" s="7"/>
      <c r="AB245" s="7"/>
      <c r="AC245" s="7"/>
      <c r="AD245" s="7"/>
      <c r="AE245" s="8"/>
      <c r="AF245" s="8"/>
      <c r="AG245" s="7"/>
    </row>
    <row r="246" spans="1:33" ht="19.7" customHeight="1" x14ac:dyDescent="0.25">
      <c r="A246" s="6">
        <f t="shared" si="20"/>
        <v>41559</v>
      </c>
      <c r="B246" s="7">
        <f t="shared" si="19"/>
        <v>56035</v>
      </c>
      <c r="C246" s="7">
        <v>38612</v>
      </c>
      <c r="D246" s="7">
        <v>338</v>
      </c>
      <c r="E246" s="7">
        <v>296</v>
      </c>
      <c r="F246" s="7">
        <v>8148</v>
      </c>
      <c r="G246" s="7">
        <v>4840</v>
      </c>
      <c r="H246" s="7">
        <v>3700</v>
      </c>
      <c r="I246" s="7">
        <v>98</v>
      </c>
      <c r="J246" s="7">
        <v>3</v>
      </c>
      <c r="K246" s="7">
        <f t="shared" si="22"/>
        <v>-15093</v>
      </c>
      <c r="L246" s="7">
        <f t="shared" si="21"/>
        <v>-3366</v>
      </c>
      <c r="M246" s="8">
        <f t="shared" si="18"/>
        <v>-0.21219491620740072</v>
      </c>
      <c r="N246" s="8">
        <f t="shared" si="17"/>
        <v>-8.0184858735528164E-2</v>
      </c>
      <c r="O246" s="7">
        <v>6079</v>
      </c>
      <c r="Q246" s="3"/>
      <c r="R246" s="3"/>
      <c r="S246" s="6"/>
      <c r="T246" s="7"/>
      <c r="U246" s="7"/>
      <c r="V246" s="7"/>
      <c r="W246" s="7"/>
      <c r="X246" s="7"/>
      <c r="Y246" s="7"/>
      <c r="Z246" s="7"/>
      <c r="AA246" s="7"/>
      <c r="AB246" s="7"/>
      <c r="AC246" s="7"/>
      <c r="AD246" s="7"/>
      <c r="AE246" s="8"/>
      <c r="AF246" s="8"/>
      <c r="AG246" s="7"/>
    </row>
    <row r="247" spans="1:33" ht="19.7" customHeight="1" x14ac:dyDescent="0.25">
      <c r="A247" s="6">
        <f t="shared" si="20"/>
        <v>41566</v>
      </c>
      <c r="B247" s="7">
        <f t="shared" si="19"/>
        <v>55739</v>
      </c>
      <c r="C247" s="7">
        <v>38600</v>
      </c>
      <c r="D247" s="7">
        <v>527</v>
      </c>
      <c r="E247" s="7">
        <v>286</v>
      </c>
      <c r="F247" s="7">
        <v>7994</v>
      </c>
      <c r="G247" s="7">
        <v>4706</v>
      </c>
      <c r="H247" s="7">
        <v>3525</v>
      </c>
      <c r="I247" s="7">
        <v>99</v>
      </c>
      <c r="J247" s="7">
        <v>2</v>
      </c>
      <c r="K247" s="7">
        <f t="shared" si="22"/>
        <v>-16563</v>
      </c>
      <c r="L247" s="7">
        <f t="shared" si="21"/>
        <v>-4441</v>
      </c>
      <c r="M247" s="8">
        <f t="shared" si="18"/>
        <v>-0.22908079997787056</v>
      </c>
      <c r="N247" s="8">
        <f t="shared" si="17"/>
        <v>-0.10318068818103665</v>
      </c>
      <c r="O247" s="7">
        <v>4804</v>
      </c>
      <c r="Q247" s="3"/>
      <c r="R247" s="3"/>
      <c r="S247" s="6"/>
      <c r="T247" s="7"/>
      <c r="U247" s="7"/>
      <c r="V247" s="7"/>
      <c r="W247" s="7"/>
      <c r="X247" s="7"/>
      <c r="Y247" s="7"/>
      <c r="Z247" s="7"/>
      <c r="AA247" s="7"/>
      <c r="AB247" s="7"/>
      <c r="AC247" s="7"/>
      <c r="AD247" s="7"/>
      <c r="AE247" s="8"/>
      <c r="AF247" s="8"/>
      <c r="AG247" s="7"/>
    </row>
    <row r="248" spans="1:33" ht="19.7" customHeight="1" x14ac:dyDescent="0.25">
      <c r="A248" s="6">
        <f t="shared" si="20"/>
        <v>41573</v>
      </c>
      <c r="B248" s="7">
        <f t="shared" si="19"/>
        <v>55831</v>
      </c>
      <c r="C248" s="7">
        <v>38480</v>
      </c>
      <c r="D248" s="7">
        <v>334</v>
      </c>
      <c r="E248" s="7">
        <v>311</v>
      </c>
      <c r="F248" s="7">
        <v>8244</v>
      </c>
      <c r="G248" s="7">
        <v>4756</v>
      </c>
      <c r="H248" s="7">
        <v>3605</v>
      </c>
      <c r="I248" s="7">
        <v>98</v>
      </c>
      <c r="J248" s="7">
        <v>3</v>
      </c>
      <c r="K248" s="7">
        <f t="shared" si="22"/>
        <v>-15097</v>
      </c>
      <c r="L248" s="7">
        <f t="shared" si="21"/>
        <v>-3520</v>
      </c>
      <c r="M248" s="8">
        <f t="shared" si="18"/>
        <v>-0.21284965034965031</v>
      </c>
      <c r="N248" s="8">
        <f t="shared" ref="N248:N267" si="23">IF(L248="","",C248/C196-1)</f>
        <v>-8.3809523809523778E-2</v>
      </c>
      <c r="O248" s="7">
        <v>4576</v>
      </c>
      <c r="Q248" s="3"/>
      <c r="R248" s="3"/>
      <c r="S248" s="6"/>
      <c r="T248" s="7"/>
      <c r="U248" s="7"/>
      <c r="V248" s="7"/>
      <c r="W248" s="7"/>
      <c r="X248" s="7"/>
      <c r="Y248" s="7"/>
      <c r="Z248" s="7"/>
      <c r="AA248" s="7"/>
      <c r="AB248" s="7"/>
      <c r="AC248" s="7"/>
      <c r="AD248" s="7"/>
      <c r="AE248" s="8"/>
      <c r="AF248" s="8"/>
      <c r="AG248" s="7"/>
    </row>
    <row r="249" spans="1:33" ht="19.7" customHeight="1" x14ac:dyDescent="0.25">
      <c r="A249" s="6">
        <f t="shared" si="20"/>
        <v>41580</v>
      </c>
      <c r="B249" s="7">
        <f t="shared" si="19"/>
        <v>54834</v>
      </c>
      <c r="C249" s="7">
        <v>37481</v>
      </c>
      <c r="D249" s="7">
        <v>315</v>
      </c>
      <c r="E249" s="7">
        <v>298</v>
      </c>
      <c r="F249" s="7">
        <v>8191</v>
      </c>
      <c r="G249" s="7">
        <v>4723</v>
      </c>
      <c r="H249" s="7">
        <v>3698</v>
      </c>
      <c r="I249" s="7">
        <v>125</v>
      </c>
      <c r="J249" s="7">
        <v>3</v>
      </c>
      <c r="K249" s="7">
        <f t="shared" si="22"/>
        <v>-14412</v>
      </c>
      <c r="L249" s="7">
        <f t="shared" si="21"/>
        <v>-3307</v>
      </c>
      <c r="M249" s="8">
        <f t="shared" ref="M249:M267" si="24">IF(K249="","",B249/B197-1)</f>
        <v>-0.20812754527337318</v>
      </c>
      <c r="N249" s="8">
        <f t="shared" si="23"/>
        <v>-8.1077767970971881E-2</v>
      </c>
      <c r="O249" s="7">
        <v>4556</v>
      </c>
      <c r="Q249" s="3"/>
      <c r="R249" s="3"/>
      <c r="S249" s="6"/>
      <c r="T249" s="7"/>
      <c r="U249" s="7"/>
      <c r="V249" s="7"/>
      <c r="W249" s="7"/>
      <c r="X249" s="7"/>
      <c r="Y249" s="7"/>
      <c r="Z249" s="7"/>
      <c r="AA249" s="7"/>
      <c r="AB249" s="7"/>
      <c r="AC249" s="7"/>
      <c r="AD249" s="7"/>
      <c r="AE249" s="8"/>
      <c r="AF249" s="8"/>
      <c r="AG249" s="7"/>
    </row>
    <row r="250" spans="1:33" ht="19.7" customHeight="1" x14ac:dyDescent="0.25">
      <c r="A250" s="6">
        <f t="shared" si="20"/>
        <v>41587</v>
      </c>
      <c r="B250" s="7">
        <f t="shared" si="19"/>
        <v>54697</v>
      </c>
      <c r="C250" s="7">
        <v>37288</v>
      </c>
      <c r="D250" s="7">
        <v>310</v>
      </c>
      <c r="E250" s="7">
        <v>297</v>
      </c>
      <c r="F250" s="7">
        <v>8317</v>
      </c>
      <c r="G250" s="7">
        <v>4740</v>
      </c>
      <c r="H250" s="7">
        <v>3625</v>
      </c>
      <c r="I250" s="7">
        <v>117</v>
      </c>
      <c r="J250" s="7">
        <v>3</v>
      </c>
      <c r="K250" s="7">
        <f t="shared" si="22"/>
        <v>-12674</v>
      </c>
      <c r="L250" s="7">
        <f t="shared" si="21"/>
        <v>-2074</v>
      </c>
      <c r="M250" s="8">
        <f t="shared" si="24"/>
        <v>-0.18812248593608527</v>
      </c>
      <c r="N250" s="8">
        <f t="shared" si="23"/>
        <v>-5.2690412072557313E-2</v>
      </c>
      <c r="O250" s="7">
        <v>4877</v>
      </c>
      <c r="Q250" s="3"/>
      <c r="R250" s="3"/>
      <c r="S250" s="6"/>
      <c r="T250" s="7"/>
      <c r="U250" s="7"/>
      <c r="V250" s="7"/>
      <c r="W250" s="7"/>
      <c r="X250" s="7"/>
      <c r="Y250" s="7"/>
      <c r="Z250" s="7"/>
      <c r="AA250" s="7"/>
      <c r="AB250" s="7"/>
      <c r="AC250" s="7"/>
      <c r="AD250" s="7"/>
      <c r="AE250" s="8"/>
      <c r="AF250" s="8"/>
      <c r="AG250" s="7"/>
    </row>
    <row r="251" spans="1:33" ht="19.7" customHeight="1" x14ac:dyDescent="0.25">
      <c r="A251" s="6">
        <f t="shared" si="20"/>
        <v>41594</v>
      </c>
      <c r="B251" s="7">
        <f t="shared" si="19"/>
        <v>53548</v>
      </c>
      <c r="C251" s="7">
        <v>36505</v>
      </c>
      <c r="D251" s="7">
        <v>361</v>
      </c>
      <c r="E251" s="7">
        <v>279</v>
      </c>
      <c r="F251" s="7">
        <v>8238</v>
      </c>
      <c r="G251" s="7">
        <v>4589</v>
      </c>
      <c r="H251" s="7">
        <v>3448</v>
      </c>
      <c r="I251" s="7">
        <v>124</v>
      </c>
      <c r="J251" s="7">
        <v>4</v>
      </c>
      <c r="K251" s="7">
        <f t="shared" si="22"/>
        <v>-10981</v>
      </c>
      <c r="L251" s="7">
        <f t="shared" si="21"/>
        <v>-1766</v>
      </c>
      <c r="M251" s="8">
        <f t="shared" si="24"/>
        <v>-0.17017155077562029</v>
      </c>
      <c r="N251" s="8">
        <f t="shared" si="23"/>
        <v>-4.6144600350134568E-2</v>
      </c>
      <c r="O251" s="7">
        <v>4350</v>
      </c>
      <c r="Q251" s="3"/>
      <c r="R251" s="3"/>
      <c r="S251" s="6"/>
      <c r="T251" s="7"/>
      <c r="U251" s="7"/>
      <c r="V251" s="7"/>
      <c r="W251" s="7"/>
      <c r="X251" s="7"/>
      <c r="Y251" s="7"/>
      <c r="Z251" s="7"/>
      <c r="AA251" s="7"/>
      <c r="AB251" s="7"/>
      <c r="AC251" s="7"/>
      <c r="AD251" s="7"/>
      <c r="AE251" s="8"/>
      <c r="AF251" s="8"/>
      <c r="AG251" s="7"/>
    </row>
    <row r="252" spans="1:33" ht="19.7" customHeight="1" x14ac:dyDescent="0.25">
      <c r="A252" s="6">
        <f t="shared" si="20"/>
        <v>41601</v>
      </c>
      <c r="B252" s="7">
        <f t="shared" si="19"/>
        <v>53525</v>
      </c>
      <c r="C252" s="7">
        <v>36682</v>
      </c>
      <c r="D252" s="7">
        <v>354</v>
      </c>
      <c r="E252" s="7">
        <v>291</v>
      </c>
      <c r="F252" s="7">
        <v>8120</v>
      </c>
      <c r="G252" s="7">
        <v>4498</v>
      </c>
      <c r="H252" s="7">
        <v>3468</v>
      </c>
      <c r="I252" s="7">
        <v>108</v>
      </c>
      <c r="J252" s="7">
        <v>4</v>
      </c>
      <c r="K252" s="7">
        <f t="shared" si="22"/>
        <v>-9765</v>
      </c>
      <c r="L252" s="7">
        <f t="shared" si="21"/>
        <v>-615</v>
      </c>
      <c r="M252" s="8">
        <f t="shared" si="24"/>
        <v>-0.15428977721598991</v>
      </c>
      <c r="N252" s="8">
        <f t="shared" si="23"/>
        <v>-1.6489261870927918E-2</v>
      </c>
      <c r="O252" s="7">
        <v>4654</v>
      </c>
      <c r="Q252" s="3"/>
      <c r="R252" s="3"/>
      <c r="S252" s="6"/>
      <c r="T252" s="7"/>
      <c r="U252" s="7"/>
      <c r="V252" s="7"/>
      <c r="W252" s="7"/>
      <c r="X252" s="7"/>
      <c r="Y252" s="7"/>
      <c r="Z252" s="7"/>
      <c r="AA252" s="7"/>
      <c r="AB252" s="7"/>
      <c r="AC252" s="7"/>
      <c r="AD252" s="7"/>
      <c r="AE252" s="8"/>
      <c r="AF252" s="8"/>
      <c r="AG252" s="7"/>
    </row>
    <row r="253" spans="1:33" ht="19.7" customHeight="1" x14ac:dyDescent="0.25">
      <c r="A253" s="6">
        <f t="shared" si="20"/>
        <v>41608</v>
      </c>
      <c r="B253" s="7">
        <f t="shared" si="19"/>
        <v>49338</v>
      </c>
      <c r="C253" s="7">
        <v>34097</v>
      </c>
      <c r="D253" s="7">
        <v>336</v>
      </c>
      <c r="E253" s="7">
        <v>281</v>
      </c>
      <c r="F253" s="7">
        <v>7435</v>
      </c>
      <c r="G253" s="7">
        <v>4106</v>
      </c>
      <c r="H253" s="7">
        <v>2995</v>
      </c>
      <c r="I253" s="7">
        <v>84</v>
      </c>
      <c r="J253" s="7">
        <v>4</v>
      </c>
      <c r="K253" s="7">
        <f t="shared" si="22"/>
        <v>-15215</v>
      </c>
      <c r="L253" s="7">
        <f t="shared" si="21"/>
        <v>-4630</v>
      </c>
      <c r="M253" s="8">
        <f t="shared" si="24"/>
        <v>-0.23569779870803831</v>
      </c>
      <c r="N253" s="8">
        <f t="shared" si="23"/>
        <v>-0.11955483254576915</v>
      </c>
      <c r="O253" s="7">
        <v>3311</v>
      </c>
      <c r="Q253" s="3"/>
      <c r="R253" s="3"/>
      <c r="S253" s="6"/>
      <c r="T253" s="7"/>
      <c r="U253" s="7"/>
      <c r="V253" s="7"/>
      <c r="W253" s="7"/>
      <c r="X253" s="7"/>
      <c r="Y253" s="7"/>
      <c r="Z253" s="7"/>
      <c r="AA253" s="7"/>
      <c r="AB253" s="7"/>
      <c r="AC253" s="7"/>
      <c r="AD253" s="7"/>
      <c r="AE253" s="8"/>
      <c r="AF253" s="8"/>
      <c r="AG253" s="7"/>
    </row>
    <row r="254" spans="1:33" ht="19.7" customHeight="1" x14ac:dyDescent="0.25">
      <c r="A254" s="6">
        <f t="shared" si="20"/>
        <v>41615</v>
      </c>
      <c r="B254" s="7">
        <f t="shared" si="19"/>
        <v>51568</v>
      </c>
      <c r="C254" s="7">
        <v>36128</v>
      </c>
      <c r="D254" s="7">
        <v>384</v>
      </c>
      <c r="E254" s="7">
        <v>278</v>
      </c>
      <c r="F254" s="7">
        <v>7577</v>
      </c>
      <c r="G254" s="7">
        <v>4062</v>
      </c>
      <c r="H254" s="7">
        <v>3047</v>
      </c>
      <c r="I254" s="7">
        <v>89</v>
      </c>
      <c r="J254" s="7">
        <v>3</v>
      </c>
      <c r="K254" s="7">
        <f t="shared" si="22"/>
        <v>-12293</v>
      </c>
      <c r="L254" s="7">
        <f t="shared" si="21"/>
        <v>-2442</v>
      </c>
      <c r="M254" s="8">
        <f t="shared" si="24"/>
        <v>-0.19249620269021783</v>
      </c>
      <c r="N254" s="8">
        <f t="shared" si="23"/>
        <v>-6.3313456053927908E-2</v>
      </c>
      <c r="O254" s="7">
        <v>4837</v>
      </c>
      <c r="Q254" s="3"/>
      <c r="R254" s="3"/>
      <c r="S254" s="6"/>
      <c r="T254" s="7"/>
      <c r="U254" s="7"/>
      <c r="V254" s="7"/>
      <c r="W254" s="7"/>
      <c r="X254" s="7"/>
      <c r="Y254" s="7"/>
      <c r="Z254" s="7"/>
      <c r="AA254" s="7"/>
      <c r="AB254" s="7"/>
      <c r="AC254" s="7"/>
      <c r="AD254" s="7"/>
      <c r="AE254" s="8"/>
      <c r="AF254" s="8"/>
      <c r="AG254" s="7"/>
    </row>
    <row r="255" spans="1:33" ht="19.7" customHeight="1" x14ac:dyDescent="0.25">
      <c r="A255" s="6">
        <f t="shared" si="20"/>
        <v>41622</v>
      </c>
      <c r="B255" s="7">
        <f t="shared" si="19"/>
        <v>50663</v>
      </c>
      <c r="C255" s="7">
        <v>35594</v>
      </c>
      <c r="D255" s="7">
        <v>367</v>
      </c>
      <c r="E255" s="7">
        <v>270</v>
      </c>
      <c r="F255" s="7">
        <v>7447</v>
      </c>
      <c r="G255" s="7">
        <v>4025</v>
      </c>
      <c r="H255" s="7">
        <v>2883</v>
      </c>
      <c r="I255" s="7">
        <v>74</v>
      </c>
      <c r="J255" s="7">
        <v>3</v>
      </c>
      <c r="K255" s="7">
        <f t="shared" si="22"/>
        <v>-11686</v>
      </c>
      <c r="L255" s="7">
        <f t="shared" si="21"/>
        <v>-2309</v>
      </c>
      <c r="M255" s="8">
        <f t="shared" si="24"/>
        <v>-0.18742882804856531</v>
      </c>
      <c r="N255" s="8">
        <f t="shared" si="23"/>
        <v>-6.0918660792021795E-2</v>
      </c>
      <c r="O255" s="7">
        <v>4376</v>
      </c>
      <c r="Q255" s="3"/>
      <c r="R255" s="3"/>
      <c r="S255" s="6"/>
      <c r="T255" s="7"/>
      <c r="U255" s="7"/>
      <c r="V255" s="7"/>
      <c r="W255" s="7"/>
      <c r="X255" s="7"/>
      <c r="Y255" s="7"/>
      <c r="Z255" s="7"/>
      <c r="AA255" s="7"/>
      <c r="AB255" s="7"/>
      <c r="AC255" s="7"/>
      <c r="AD255" s="7"/>
      <c r="AE255" s="8"/>
      <c r="AF255" s="8"/>
      <c r="AG255" s="7"/>
    </row>
    <row r="256" spans="1:33" ht="19.7" customHeight="1" x14ac:dyDescent="0.25">
      <c r="A256" s="6">
        <f t="shared" si="20"/>
        <v>41629</v>
      </c>
      <c r="B256" s="7">
        <f t="shared" si="19"/>
        <v>49850</v>
      </c>
      <c r="C256" s="7">
        <v>35153</v>
      </c>
      <c r="D256" s="7">
        <v>406</v>
      </c>
      <c r="E256" s="7">
        <v>289</v>
      </c>
      <c r="F256" s="7">
        <v>7354</v>
      </c>
      <c r="G256" s="7">
        <v>3804</v>
      </c>
      <c r="H256" s="7">
        <v>2769</v>
      </c>
      <c r="I256" s="7">
        <v>72</v>
      </c>
      <c r="J256" s="7">
        <v>3</v>
      </c>
      <c r="K256" s="7">
        <f t="shared" si="22"/>
        <v>-11291</v>
      </c>
      <c r="L256" s="7">
        <f t="shared" si="21"/>
        <v>-2066</v>
      </c>
      <c r="M256" s="8">
        <f t="shared" si="24"/>
        <v>-0.18467149703145191</v>
      </c>
      <c r="N256" s="8">
        <f t="shared" si="23"/>
        <v>-5.5509282893145939E-2</v>
      </c>
      <c r="O256" s="7">
        <v>4258</v>
      </c>
      <c r="Q256" s="3"/>
      <c r="R256" s="3"/>
      <c r="S256" s="6"/>
      <c r="T256" s="7"/>
      <c r="U256" s="7"/>
      <c r="V256" s="7"/>
      <c r="W256" s="7"/>
      <c r="X256" s="7"/>
      <c r="Y256" s="7"/>
      <c r="Z256" s="7"/>
      <c r="AA256" s="7"/>
      <c r="AB256" s="7"/>
      <c r="AC256" s="7"/>
      <c r="AD256" s="7"/>
      <c r="AE256" s="8"/>
      <c r="AF256" s="8"/>
      <c r="AG256" s="7"/>
    </row>
    <row r="257" spans="1:33" ht="19.7" customHeight="1" x14ac:dyDescent="0.25">
      <c r="A257" s="6">
        <f t="shared" si="20"/>
        <v>41636</v>
      </c>
      <c r="B257" s="7">
        <f t="shared" si="19"/>
        <v>49127</v>
      </c>
      <c r="C257" s="7">
        <v>34598</v>
      </c>
      <c r="D257" s="7">
        <v>390</v>
      </c>
      <c r="E257" s="7">
        <v>272</v>
      </c>
      <c r="F257" s="7">
        <v>7238</v>
      </c>
      <c r="G257" s="7">
        <v>3790</v>
      </c>
      <c r="H257" s="7">
        <v>2775</v>
      </c>
      <c r="I257" s="7">
        <v>61</v>
      </c>
      <c r="J257" s="7">
        <v>3</v>
      </c>
      <c r="K257" s="7">
        <f t="shared" si="22"/>
        <v>-10049</v>
      </c>
      <c r="L257" s="7">
        <f t="shared" si="21"/>
        <v>-1408</v>
      </c>
      <c r="M257" s="8">
        <f t="shared" si="24"/>
        <v>-0.16981546572934969</v>
      </c>
      <c r="N257" s="8">
        <f t="shared" si="23"/>
        <v>-3.9104593678831345E-2</v>
      </c>
      <c r="O257" s="7">
        <v>3078</v>
      </c>
      <c r="Q257" s="3"/>
      <c r="R257" s="3"/>
      <c r="S257" s="6"/>
      <c r="T257" s="7"/>
      <c r="U257" s="7"/>
      <c r="V257" s="7"/>
      <c r="W257" s="7"/>
      <c r="X257" s="7"/>
      <c r="Y257" s="7"/>
      <c r="Z257" s="7"/>
      <c r="AA257" s="7"/>
      <c r="AB257" s="7"/>
      <c r="AC257" s="7"/>
      <c r="AD257" s="7"/>
      <c r="AE257" s="8"/>
      <c r="AF257" s="8"/>
      <c r="AG257" s="7"/>
    </row>
    <row r="258" spans="1:33" ht="19.7" customHeight="1" x14ac:dyDescent="0.25">
      <c r="A258" s="6">
        <f t="shared" si="20"/>
        <v>41643</v>
      </c>
      <c r="B258" s="7">
        <f t="shared" si="19"/>
        <v>49485</v>
      </c>
      <c r="C258" s="7">
        <v>35059</v>
      </c>
      <c r="D258" s="7">
        <v>419</v>
      </c>
      <c r="E258" s="7">
        <v>280</v>
      </c>
      <c r="F258" s="7">
        <v>7119</v>
      </c>
      <c r="G258" s="7">
        <v>3788</v>
      </c>
      <c r="H258" s="7">
        <v>2757</v>
      </c>
      <c r="I258" s="7">
        <v>60</v>
      </c>
      <c r="J258" s="7">
        <v>3</v>
      </c>
      <c r="K258" s="7">
        <f t="shared" si="22"/>
        <v>-11282</v>
      </c>
      <c r="L258" s="7">
        <f t="shared" si="21"/>
        <v>-2447</v>
      </c>
      <c r="M258" s="8">
        <f t="shared" si="24"/>
        <v>-0.18565997992331362</v>
      </c>
      <c r="N258" s="8">
        <f t="shared" si="23"/>
        <v>-6.5242894470218138E-2</v>
      </c>
      <c r="O258" s="7">
        <v>4189</v>
      </c>
      <c r="Q258" s="3"/>
      <c r="R258" s="3"/>
      <c r="S258" s="6"/>
      <c r="T258" s="7"/>
      <c r="U258" s="7"/>
      <c r="V258" s="7"/>
      <c r="W258" s="7"/>
      <c r="X258" s="7"/>
      <c r="Y258" s="7"/>
      <c r="Z258" s="7"/>
      <c r="AA258" s="7"/>
      <c r="AB258" s="7"/>
      <c r="AC258" s="7"/>
      <c r="AD258" s="7"/>
      <c r="AE258" s="8"/>
      <c r="AF258" s="8"/>
      <c r="AG258" s="7"/>
    </row>
    <row r="259" spans="1:33" ht="19.7" customHeight="1" x14ac:dyDescent="0.25">
      <c r="A259" s="6">
        <f t="shared" si="20"/>
        <v>41650</v>
      </c>
      <c r="B259" s="7">
        <f t="shared" si="19"/>
        <v>48598</v>
      </c>
      <c r="C259" s="7">
        <v>35512</v>
      </c>
      <c r="D259" s="7">
        <v>433</v>
      </c>
      <c r="E259" s="7">
        <v>268</v>
      </c>
      <c r="F259" s="7">
        <v>6125</v>
      </c>
      <c r="G259" s="7">
        <v>3885</v>
      </c>
      <c r="H259" s="7">
        <v>2306</v>
      </c>
      <c r="I259" s="7">
        <v>68</v>
      </c>
      <c r="J259" s="7">
        <v>1</v>
      </c>
      <c r="K259" s="7">
        <f t="shared" si="22"/>
        <v>-11973</v>
      </c>
      <c r="L259" s="7">
        <f t="shared" si="21"/>
        <v>-2574</v>
      </c>
      <c r="M259" s="8">
        <f t="shared" si="24"/>
        <v>-0.19766885143055257</v>
      </c>
      <c r="N259" s="8">
        <f t="shared" si="23"/>
        <v>-6.7583889093105087E-2</v>
      </c>
      <c r="O259" s="7">
        <v>6359</v>
      </c>
      <c r="Q259" s="3"/>
      <c r="R259" s="3"/>
      <c r="S259" s="6"/>
      <c r="T259" s="7"/>
      <c r="U259" s="7"/>
      <c r="V259" s="7"/>
      <c r="W259" s="7"/>
      <c r="X259" s="7"/>
      <c r="Y259" s="7"/>
      <c r="Z259" s="7"/>
      <c r="AA259" s="7"/>
      <c r="AB259" s="7"/>
      <c r="AC259" s="7"/>
      <c r="AD259" s="7"/>
      <c r="AE259" s="8"/>
      <c r="AF259" s="8"/>
      <c r="AG259" s="7"/>
    </row>
    <row r="260" spans="1:33" ht="19.7" customHeight="1" x14ac:dyDescent="0.25">
      <c r="A260" s="6">
        <f t="shared" si="20"/>
        <v>41657</v>
      </c>
      <c r="B260" s="7">
        <f t="shared" ref="B260:B279" si="25">SUM(C260:J260)</f>
        <v>48224</v>
      </c>
      <c r="C260" s="7">
        <v>36075</v>
      </c>
      <c r="D260" s="7">
        <v>453</v>
      </c>
      <c r="E260" s="7">
        <v>267</v>
      </c>
      <c r="F260" s="7">
        <v>5693</v>
      </c>
      <c r="G260" s="7">
        <v>3589</v>
      </c>
      <c r="H260" s="7">
        <v>2090</v>
      </c>
      <c r="I260" s="7">
        <v>57</v>
      </c>
      <c r="J260" s="7">
        <v>0</v>
      </c>
      <c r="K260" s="7">
        <f t="shared" si="22"/>
        <v>-13383</v>
      </c>
      <c r="L260" s="7">
        <f t="shared" si="21"/>
        <v>-2575</v>
      </c>
      <c r="M260" s="8">
        <f t="shared" si="24"/>
        <v>-0.21723180807375786</v>
      </c>
      <c r="N260" s="8">
        <f t="shared" si="23"/>
        <v>-6.6623544631306597E-2</v>
      </c>
      <c r="O260" s="7">
        <v>5398</v>
      </c>
      <c r="Q260" s="3"/>
      <c r="R260" s="3"/>
      <c r="S260" s="6"/>
      <c r="T260" s="7"/>
      <c r="U260" s="7"/>
      <c r="V260" s="7"/>
      <c r="W260" s="7"/>
      <c r="X260" s="7"/>
      <c r="Y260" s="7"/>
      <c r="Z260" s="7"/>
      <c r="AA260" s="7"/>
      <c r="AB260" s="7"/>
      <c r="AC260" s="7"/>
      <c r="AD260" s="7"/>
      <c r="AE260" s="8"/>
      <c r="AF260" s="8"/>
      <c r="AG260" s="7"/>
    </row>
    <row r="261" spans="1:33" ht="19.7" customHeight="1" x14ac:dyDescent="0.25">
      <c r="A261" s="6">
        <f t="shared" si="20"/>
        <v>41664</v>
      </c>
      <c r="B261" s="7">
        <f t="shared" si="25"/>
        <v>47128</v>
      </c>
      <c r="C261" s="7">
        <v>35824</v>
      </c>
      <c r="D261" s="7">
        <v>420</v>
      </c>
      <c r="E261" s="7">
        <v>256</v>
      </c>
      <c r="F261" s="7">
        <v>5460</v>
      </c>
      <c r="G261" s="7">
        <v>3241</v>
      </c>
      <c r="H261" s="7">
        <v>1875</v>
      </c>
      <c r="I261" s="7">
        <v>50</v>
      </c>
      <c r="J261" s="7">
        <v>2</v>
      </c>
      <c r="K261" s="7">
        <f t="shared" si="22"/>
        <v>-12430</v>
      </c>
      <c r="L261" s="7">
        <f t="shared" si="21"/>
        <v>-1940</v>
      </c>
      <c r="M261" s="8">
        <f t="shared" si="24"/>
        <v>-0.20870412035326913</v>
      </c>
      <c r="N261" s="8">
        <f t="shared" si="23"/>
        <v>-5.1371676729160098E-2</v>
      </c>
      <c r="O261" s="7">
        <v>4799</v>
      </c>
      <c r="Q261" s="3"/>
      <c r="R261" s="3"/>
      <c r="S261" s="6"/>
      <c r="T261" s="7"/>
      <c r="U261" s="7"/>
      <c r="V261" s="7"/>
      <c r="W261" s="7"/>
      <c r="X261" s="7"/>
      <c r="Y261" s="7"/>
      <c r="Z261" s="7"/>
      <c r="AA261" s="7"/>
      <c r="AB261" s="7"/>
      <c r="AC261" s="7"/>
      <c r="AD261" s="7"/>
      <c r="AE261" s="8"/>
      <c r="AF261" s="8"/>
      <c r="AG261" s="7"/>
    </row>
    <row r="262" spans="1:33" ht="19.7" customHeight="1" x14ac:dyDescent="0.25">
      <c r="A262" s="6">
        <f t="shared" ref="A262:A284" si="26">A261+7</f>
        <v>41671</v>
      </c>
      <c r="B262" s="7">
        <f t="shared" si="25"/>
        <v>47173</v>
      </c>
      <c r="C262" s="7">
        <v>36256</v>
      </c>
      <c r="D262" s="7">
        <v>419</v>
      </c>
      <c r="E262" s="7">
        <v>250</v>
      </c>
      <c r="F262" s="7">
        <v>5482</v>
      </c>
      <c r="G262" s="7">
        <v>2995</v>
      </c>
      <c r="H262" s="7">
        <v>1714</v>
      </c>
      <c r="I262" s="7">
        <v>57</v>
      </c>
      <c r="J262" s="7">
        <v>0</v>
      </c>
      <c r="K262" s="7">
        <f t="shared" si="22"/>
        <v>-15083</v>
      </c>
      <c r="L262" s="7">
        <f t="shared" si="21"/>
        <v>-2993</v>
      </c>
      <c r="M262" s="8">
        <f t="shared" si="24"/>
        <v>-0.24227383705988181</v>
      </c>
      <c r="N262" s="8">
        <f t="shared" si="23"/>
        <v>-7.6256719916431015E-2</v>
      </c>
      <c r="O262" s="7">
        <v>4782</v>
      </c>
      <c r="Q262" s="3"/>
      <c r="R262" s="3"/>
      <c r="S262" s="6"/>
      <c r="T262" s="7"/>
      <c r="U262" s="7"/>
      <c r="V262" s="7"/>
      <c r="W262" s="7"/>
      <c r="X262" s="7"/>
      <c r="Y262" s="7"/>
      <c r="Z262" s="7"/>
      <c r="AA262" s="7"/>
      <c r="AB262" s="7"/>
      <c r="AC262" s="7"/>
      <c r="AD262" s="7"/>
      <c r="AE262" s="8"/>
      <c r="AF262" s="8"/>
      <c r="AG262" s="7"/>
    </row>
    <row r="263" spans="1:33" ht="19.7" customHeight="1" x14ac:dyDescent="0.25">
      <c r="A263" s="6">
        <f t="shared" si="26"/>
        <v>41678</v>
      </c>
      <c r="B263" s="7">
        <f t="shared" si="25"/>
        <v>46363</v>
      </c>
      <c r="C263" s="7">
        <v>36046</v>
      </c>
      <c r="D263" s="7">
        <v>422</v>
      </c>
      <c r="E263" s="7">
        <v>245</v>
      </c>
      <c r="F263" s="7">
        <v>5333</v>
      </c>
      <c r="G263" s="7">
        <v>2761</v>
      </c>
      <c r="H263" s="7">
        <v>1507</v>
      </c>
      <c r="I263" s="7">
        <v>49</v>
      </c>
      <c r="J263" s="7">
        <v>0</v>
      </c>
      <c r="K263" s="7">
        <f t="shared" si="22"/>
        <v>-13788</v>
      </c>
      <c r="L263" s="7">
        <f t="shared" si="21"/>
        <v>-2061</v>
      </c>
      <c r="M263" s="8">
        <f t="shared" si="24"/>
        <v>-0.22922312181011117</v>
      </c>
      <c r="N263" s="8">
        <f t="shared" si="23"/>
        <v>-5.4084551394756875E-2</v>
      </c>
      <c r="O263" s="7">
        <v>4973</v>
      </c>
      <c r="Q263" s="3"/>
      <c r="R263" s="3"/>
      <c r="S263" s="6"/>
      <c r="T263" s="7"/>
      <c r="U263" s="7"/>
      <c r="V263" s="7"/>
      <c r="W263" s="7"/>
      <c r="X263" s="7"/>
      <c r="Y263" s="7"/>
      <c r="Z263" s="7"/>
      <c r="AA263" s="7"/>
      <c r="AB263" s="7"/>
      <c r="AC263" s="7"/>
      <c r="AD263" s="7"/>
      <c r="AE263" s="8"/>
      <c r="AF263" s="8"/>
      <c r="AG263" s="7"/>
    </row>
    <row r="264" spans="1:33" ht="19.7" customHeight="1" x14ac:dyDescent="0.25">
      <c r="A264" s="6">
        <f t="shared" si="26"/>
        <v>41685</v>
      </c>
      <c r="B264" s="7">
        <f t="shared" si="25"/>
        <v>46045</v>
      </c>
      <c r="C264" s="7">
        <v>36293</v>
      </c>
      <c r="D264" s="7">
        <v>424</v>
      </c>
      <c r="E264" s="7">
        <v>279</v>
      </c>
      <c r="F264" s="7">
        <v>5220</v>
      </c>
      <c r="G264" s="7">
        <v>2428</v>
      </c>
      <c r="H264" s="7">
        <v>1357</v>
      </c>
      <c r="I264" s="7">
        <v>44</v>
      </c>
      <c r="J264" s="7">
        <v>0</v>
      </c>
      <c r="K264" s="7">
        <f t="shared" si="22"/>
        <v>-14146</v>
      </c>
      <c r="L264" s="7">
        <f t="shared" si="21"/>
        <v>-1628</v>
      </c>
      <c r="M264" s="8">
        <f t="shared" si="24"/>
        <v>-0.23501852436410764</v>
      </c>
      <c r="N264" s="8">
        <f t="shared" si="23"/>
        <v>-4.2931357295429962E-2</v>
      </c>
      <c r="O264" s="7">
        <v>4299</v>
      </c>
      <c r="Q264" s="3"/>
      <c r="R264" s="3"/>
      <c r="S264" s="6"/>
      <c r="T264" s="7"/>
      <c r="U264" s="7"/>
      <c r="V264" s="7"/>
      <c r="W264" s="7"/>
      <c r="X264" s="7"/>
      <c r="Y264" s="7"/>
      <c r="Z264" s="7"/>
      <c r="AA264" s="7"/>
      <c r="AB264" s="7"/>
      <c r="AC264" s="7"/>
      <c r="AD264" s="7"/>
      <c r="AE264" s="8"/>
      <c r="AF264" s="8"/>
      <c r="AG264" s="7"/>
    </row>
    <row r="265" spans="1:33" ht="19.7" customHeight="1" x14ac:dyDescent="0.25">
      <c r="A265" s="6">
        <f t="shared" si="26"/>
        <v>41692</v>
      </c>
      <c r="B265" s="7">
        <f t="shared" si="25"/>
        <v>45060</v>
      </c>
      <c r="C265" s="7">
        <v>35842</v>
      </c>
      <c r="D265" s="7">
        <v>435</v>
      </c>
      <c r="E265" s="7">
        <v>249</v>
      </c>
      <c r="F265" s="7">
        <v>5098</v>
      </c>
      <c r="G265" s="7">
        <v>2215</v>
      </c>
      <c r="H265" s="7">
        <v>1185</v>
      </c>
      <c r="I265" s="7">
        <v>36</v>
      </c>
      <c r="J265" s="7">
        <v>0</v>
      </c>
      <c r="K265" s="7">
        <f t="shared" si="22"/>
        <v>-13414</v>
      </c>
      <c r="L265" s="7">
        <f t="shared" si="21"/>
        <v>-978</v>
      </c>
      <c r="M265" s="8">
        <f t="shared" si="24"/>
        <v>-0.22940110134418712</v>
      </c>
      <c r="N265" s="8">
        <f t="shared" si="23"/>
        <v>-2.6561651276480136E-2</v>
      </c>
      <c r="O265" s="7">
        <v>4098</v>
      </c>
      <c r="Q265" s="3"/>
      <c r="R265" s="3"/>
      <c r="S265" s="6"/>
      <c r="T265" s="7"/>
      <c r="U265" s="7"/>
      <c r="V265" s="7"/>
      <c r="W265" s="7"/>
      <c r="X265" s="7"/>
      <c r="Y265" s="7"/>
      <c r="Z265" s="7"/>
      <c r="AA265" s="7"/>
      <c r="AB265" s="7"/>
      <c r="AC265" s="7"/>
      <c r="AD265" s="7"/>
      <c r="AE265" s="8"/>
      <c r="AF265" s="8"/>
      <c r="AG265" s="7"/>
    </row>
    <row r="266" spans="1:33" ht="19.7" customHeight="1" x14ac:dyDescent="0.25">
      <c r="A266" s="6">
        <f t="shared" si="26"/>
        <v>41699</v>
      </c>
      <c r="B266" s="7">
        <f t="shared" si="25"/>
        <v>43917</v>
      </c>
      <c r="C266" s="7">
        <v>37858</v>
      </c>
      <c r="D266" s="7">
        <v>401</v>
      </c>
      <c r="E266" s="7">
        <v>282</v>
      </c>
      <c r="F266" s="7">
        <v>3407</v>
      </c>
      <c r="G266" s="7">
        <v>1300</v>
      </c>
      <c r="H266" s="7">
        <v>663</v>
      </c>
      <c r="I266" s="7">
        <v>6</v>
      </c>
      <c r="J266" s="7">
        <v>0</v>
      </c>
      <c r="K266" s="7">
        <f t="shared" si="22"/>
        <v>-17532</v>
      </c>
      <c r="L266" s="7">
        <f t="shared" si="21"/>
        <v>-438</v>
      </c>
      <c r="M266" s="8">
        <f t="shared" si="24"/>
        <v>-0.28530976907679539</v>
      </c>
      <c r="N266" s="8">
        <f t="shared" si="23"/>
        <v>-1.1437225819929009E-2</v>
      </c>
      <c r="O266" s="7">
        <v>4414</v>
      </c>
      <c r="Q266" s="3"/>
      <c r="R266" s="3"/>
      <c r="S266" s="6"/>
      <c r="T266" s="7"/>
      <c r="U266" s="7"/>
      <c r="V266" s="7"/>
      <c r="W266" s="7"/>
      <c r="X266" s="7"/>
      <c r="Y266" s="7"/>
      <c r="Z266" s="7"/>
      <c r="AA266" s="7"/>
      <c r="AB266" s="7"/>
      <c r="AC266" s="7"/>
      <c r="AD266" s="7"/>
      <c r="AE266" s="8"/>
      <c r="AF266" s="8"/>
      <c r="AG266" s="7"/>
    </row>
    <row r="267" spans="1:33" ht="19.7" customHeight="1" x14ac:dyDescent="0.25">
      <c r="A267" s="6">
        <f t="shared" si="26"/>
        <v>41706</v>
      </c>
      <c r="B267" s="7">
        <f t="shared" si="25"/>
        <v>41599</v>
      </c>
      <c r="C267" s="7">
        <v>40830</v>
      </c>
      <c r="D267" s="7">
        <v>422</v>
      </c>
      <c r="E267" s="7">
        <v>303</v>
      </c>
      <c r="F267" s="7">
        <v>41</v>
      </c>
      <c r="G267" s="7">
        <v>1</v>
      </c>
      <c r="H267" s="7">
        <v>2</v>
      </c>
      <c r="I267" s="7">
        <v>0</v>
      </c>
      <c r="J267" s="7">
        <v>0</v>
      </c>
      <c r="K267" s="7">
        <f t="shared" si="22"/>
        <v>-18174</v>
      </c>
      <c r="L267" s="7">
        <f t="shared" si="21"/>
        <v>3324</v>
      </c>
      <c r="M267" s="8">
        <f t="shared" si="24"/>
        <v>-0.30405032372475871</v>
      </c>
      <c r="N267" s="8">
        <f t="shared" si="23"/>
        <v>8.862581986882101E-2</v>
      </c>
      <c r="O267" s="7">
        <v>4709</v>
      </c>
      <c r="Q267" s="3"/>
      <c r="R267" s="3"/>
      <c r="S267" s="6"/>
      <c r="T267" s="7"/>
      <c r="U267" s="7"/>
      <c r="V267" s="7"/>
      <c r="W267" s="7"/>
      <c r="X267" s="7"/>
      <c r="Y267" s="7"/>
      <c r="Z267" s="7"/>
      <c r="AA267" s="7"/>
      <c r="AB267" s="7"/>
      <c r="AC267" s="7"/>
      <c r="AD267" s="7"/>
      <c r="AE267" s="8"/>
      <c r="AF267" s="8"/>
      <c r="AG267" s="7"/>
    </row>
    <row r="268" spans="1:33" ht="19.7" customHeight="1" x14ac:dyDescent="0.25">
      <c r="A268" s="6">
        <f t="shared" si="26"/>
        <v>41713</v>
      </c>
      <c r="B268" s="7">
        <f t="shared" si="25"/>
        <v>40483</v>
      </c>
      <c r="C268" s="7">
        <v>39736</v>
      </c>
      <c r="D268" s="7">
        <v>381</v>
      </c>
      <c r="E268" s="7">
        <v>302</v>
      </c>
      <c r="F268" s="7">
        <v>58</v>
      </c>
      <c r="G268" s="7">
        <v>3</v>
      </c>
      <c r="H268" s="7">
        <v>3</v>
      </c>
      <c r="I268" s="7">
        <v>0</v>
      </c>
      <c r="J268" s="7">
        <v>0</v>
      </c>
      <c r="K268" s="7">
        <f t="shared" ref="K268:K331" si="27">IF(B268=0,"",B268-B216)</f>
        <v>-18446</v>
      </c>
      <c r="L268" s="7">
        <f t="shared" ref="L268:L331" si="28">IF(C268=0,"",C268-C216)</f>
        <v>3063</v>
      </c>
      <c r="M268" s="8">
        <f t="shared" ref="M268:M331" si="29">IF(K268="","",B268/B216-1)</f>
        <v>-0.31302075378845728</v>
      </c>
      <c r="N268" s="8">
        <f t="shared" ref="N268:N331" si="30">IF(L268="","",C268/C216-1)</f>
        <v>8.3521937119952039E-2</v>
      </c>
      <c r="O268" s="7">
        <v>4437</v>
      </c>
      <c r="Q268" s="3"/>
      <c r="R268" s="3"/>
      <c r="S268" s="6"/>
      <c r="T268" s="7"/>
      <c r="U268" s="7"/>
      <c r="V268" s="7"/>
      <c r="W268" s="7"/>
      <c r="X268" s="7"/>
      <c r="Y268" s="7"/>
      <c r="Z268" s="7"/>
      <c r="AA268" s="7"/>
      <c r="AB268" s="7"/>
      <c r="AC268" s="7"/>
      <c r="AD268" s="7"/>
      <c r="AE268" s="8"/>
      <c r="AF268" s="8"/>
      <c r="AG268" s="7"/>
    </row>
    <row r="269" spans="1:33" ht="19.7" customHeight="1" x14ac:dyDescent="0.25">
      <c r="A269" s="6">
        <f t="shared" si="26"/>
        <v>41720</v>
      </c>
      <c r="B269" s="7">
        <f t="shared" si="25"/>
        <v>38781</v>
      </c>
      <c r="C269" s="7">
        <v>38107</v>
      </c>
      <c r="D269" s="7">
        <v>344</v>
      </c>
      <c r="E269" s="7">
        <v>274</v>
      </c>
      <c r="F269" s="7">
        <v>39</v>
      </c>
      <c r="G269" s="7">
        <v>1</v>
      </c>
      <c r="H269" s="7">
        <v>16</v>
      </c>
      <c r="I269" s="7">
        <v>0</v>
      </c>
      <c r="J269" s="7">
        <v>0</v>
      </c>
      <c r="K269" s="7">
        <f t="shared" si="27"/>
        <v>-18939</v>
      </c>
      <c r="L269" s="7">
        <f t="shared" si="28"/>
        <v>2173</v>
      </c>
      <c r="M269" s="8">
        <f t="shared" si="29"/>
        <v>-0.3281185031185031</v>
      </c>
      <c r="N269" s="8">
        <f t="shared" si="30"/>
        <v>6.047197640117985E-2</v>
      </c>
      <c r="O269" s="7">
        <v>4645</v>
      </c>
      <c r="Q269" s="3"/>
      <c r="R269" s="3"/>
      <c r="S269" s="6"/>
      <c r="T269" s="7"/>
      <c r="U269" s="7"/>
      <c r="V269" s="7"/>
      <c r="W269" s="7"/>
      <c r="X269" s="7"/>
      <c r="Y269" s="7"/>
      <c r="Z269" s="7"/>
      <c r="AA269" s="7"/>
      <c r="AB269" s="7"/>
      <c r="AC269" s="7"/>
      <c r="AD269" s="7"/>
      <c r="AE269" s="8"/>
      <c r="AF269" s="8"/>
      <c r="AG269" s="7"/>
    </row>
    <row r="270" spans="1:33" ht="19.7" customHeight="1" x14ac:dyDescent="0.25">
      <c r="A270" s="6">
        <v>41727</v>
      </c>
      <c r="B270" s="7">
        <f t="shared" si="25"/>
        <v>38620</v>
      </c>
      <c r="C270" s="7">
        <v>37920</v>
      </c>
      <c r="D270" s="7">
        <v>355</v>
      </c>
      <c r="E270" s="7">
        <v>303</v>
      </c>
      <c r="F270" s="7">
        <v>25</v>
      </c>
      <c r="G270" s="7">
        <v>3</v>
      </c>
      <c r="H270" s="7">
        <v>6</v>
      </c>
      <c r="I270" s="7">
        <v>8</v>
      </c>
      <c r="J270" s="7">
        <v>0</v>
      </c>
      <c r="K270" s="7">
        <f t="shared" si="27"/>
        <v>-19570</v>
      </c>
      <c r="L270" s="7">
        <f t="shared" si="28"/>
        <v>1838</v>
      </c>
      <c r="M270" s="8">
        <f t="shared" si="29"/>
        <v>-0.33631208111359345</v>
      </c>
      <c r="N270" s="8">
        <f t="shared" si="30"/>
        <v>5.0939526633778653E-2</v>
      </c>
      <c r="O270" s="7">
        <v>5081</v>
      </c>
      <c r="Q270" s="3"/>
      <c r="R270" s="3"/>
      <c r="S270" s="6"/>
      <c r="T270" s="7"/>
      <c r="U270" s="7"/>
      <c r="V270" s="7"/>
      <c r="W270" s="7"/>
      <c r="X270" s="7"/>
      <c r="Y270" s="7"/>
      <c r="Z270" s="7"/>
      <c r="AA270" s="7"/>
      <c r="AB270" s="7"/>
      <c r="AC270" s="7"/>
      <c r="AD270" s="7"/>
      <c r="AE270" s="8"/>
      <c r="AF270" s="8"/>
      <c r="AG270" s="7"/>
    </row>
    <row r="271" spans="1:33" ht="19.7" customHeight="1" x14ac:dyDescent="0.25">
      <c r="A271" s="6">
        <f t="shared" si="26"/>
        <v>41734</v>
      </c>
      <c r="B271" s="7">
        <f t="shared" si="25"/>
        <v>35800</v>
      </c>
      <c r="C271" s="7">
        <v>35218</v>
      </c>
      <c r="D271" s="7">
        <v>284</v>
      </c>
      <c r="E271" s="7">
        <v>270</v>
      </c>
      <c r="F271" s="7">
        <v>11</v>
      </c>
      <c r="G271" s="7">
        <v>3</v>
      </c>
      <c r="H271" s="7">
        <v>5</v>
      </c>
      <c r="I271" s="7">
        <v>9</v>
      </c>
      <c r="J271" s="7">
        <v>0</v>
      </c>
      <c r="K271" s="7">
        <f t="shared" si="27"/>
        <v>-21614</v>
      </c>
      <c r="L271" s="7">
        <f t="shared" si="28"/>
        <v>-394</v>
      </c>
      <c r="M271" s="8">
        <f t="shared" si="29"/>
        <v>-0.37645870345211974</v>
      </c>
      <c r="N271" s="8">
        <f t="shared" si="30"/>
        <v>-1.1063686397843386E-2</v>
      </c>
      <c r="O271" s="7">
        <v>6321</v>
      </c>
      <c r="Q271" s="3"/>
      <c r="R271" s="3"/>
      <c r="S271" s="6"/>
      <c r="T271" s="7"/>
      <c r="U271" s="7"/>
      <c r="V271" s="7"/>
      <c r="W271" s="7"/>
      <c r="X271" s="7"/>
      <c r="Y271" s="7"/>
      <c r="Z271" s="7"/>
      <c r="AA271" s="7"/>
      <c r="AB271" s="7"/>
      <c r="AC271" s="7"/>
      <c r="AD271" s="7"/>
      <c r="AE271" s="8"/>
      <c r="AF271" s="8"/>
      <c r="AG271" s="7"/>
    </row>
    <row r="272" spans="1:33" ht="19.7" customHeight="1" x14ac:dyDescent="0.25">
      <c r="A272" s="6">
        <f t="shared" si="26"/>
        <v>41741</v>
      </c>
      <c r="B272" s="7">
        <f t="shared" si="25"/>
        <v>36971</v>
      </c>
      <c r="C272" s="7">
        <v>36383</v>
      </c>
      <c r="D272" s="7">
        <v>271</v>
      </c>
      <c r="E272" s="7">
        <v>276</v>
      </c>
      <c r="F272" s="7">
        <v>34</v>
      </c>
      <c r="G272" s="7">
        <v>4</v>
      </c>
      <c r="H272" s="7">
        <v>3</v>
      </c>
      <c r="I272" s="7">
        <v>0</v>
      </c>
      <c r="J272" s="7">
        <v>0</v>
      </c>
      <c r="K272" s="7">
        <f t="shared" si="27"/>
        <v>-22468</v>
      </c>
      <c r="L272" s="7">
        <f t="shared" si="28"/>
        <v>-288</v>
      </c>
      <c r="M272" s="8">
        <f t="shared" si="29"/>
        <v>-0.378000975790306</v>
      </c>
      <c r="N272" s="8">
        <f t="shared" si="30"/>
        <v>-7.8536172997736298E-3</v>
      </c>
      <c r="O272" s="7">
        <v>7736</v>
      </c>
      <c r="Q272" s="3"/>
      <c r="R272" s="3"/>
      <c r="S272" s="6"/>
      <c r="T272" s="7"/>
      <c r="U272" s="7"/>
      <c r="V272" s="7"/>
      <c r="W272" s="7"/>
      <c r="X272" s="7"/>
      <c r="Y272" s="7"/>
      <c r="Z272" s="7"/>
      <c r="AA272" s="7"/>
      <c r="AB272" s="7"/>
      <c r="AC272" s="7"/>
      <c r="AD272" s="7"/>
      <c r="AE272" s="8"/>
      <c r="AF272" s="8"/>
      <c r="AG272" s="7"/>
    </row>
    <row r="273" spans="1:33" ht="19.7" customHeight="1" x14ac:dyDescent="0.25">
      <c r="A273" s="6">
        <f t="shared" si="26"/>
        <v>41748</v>
      </c>
      <c r="B273" s="7">
        <f t="shared" si="25"/>
        <v>38563</v>
      </c>
      <c r="C273" s="7">
        <v>38041</v>
      </c>
      <c r="D273" s="7">
        <v>228</v>
      </c>
      <c r="E273" s="7">
        <v>285</v>
      </c>
      <c r="F273" s="7">
        <v>9</v>
      </c>
      <c r="G273" s="7">
        <v>0</v>
      </c>
      <c r="H273" s="7">
        <v>0</v>
      </c>
      <c r="I273" s="7">
        <v>0</v>
      </c>
      <c r="J273" s="7">
        <v>0</v>
      </c>
      <c r="K273" s="7">
        <f t="shared" si="27"/>
        <v>-22096</v>
      </c>
      <c r="L273" s="7">
        <f t="shared" si="28"/>
        <v>-522</v>
      </c>
      <c r="M273" s="8">
        <f t="shared" si="29"/>
        <v>-0.36426581381163559</v>
      </c>
      <c r="N273" s="8">
        <f t="shared" si="30"/>
        <v>-1.3536291263646527E-2</v>
      </c>
      <c r="O273" s="7">
        <v>6531</v>
      </c>
      <c r="Q273" s="3"/>
      <c r="R273" s="3"/>
      <c r="S273" s="6"/>
      <c r="T273" s="7"/>
      <c r="U273" s="7"/>
      <c r="V273" s="7"/>
      <c r="W273" s="7"/>
      <c r="X273" s="7"/>
      <c r="Y273" s="7"/>
      <c r="Z273" s="7"/>
      <c r="AA273" s="7"/>
      <c r="AB273" s="7"/>
      <c r="AC273" s="7"/>
      <c r="AD273" s="7"/>
      <c r="AE273" s="8"/>
      <c r="AF273" s="8"/>
      <c r="AG273" s="7"/>
    </row>
    <row r="274" spans="1:33" ht="19.7" customHeight="1" x14ac:dyDescent="0.25">
      <c r="A274" s="6">
        <f t="shared" si="26"/>
        <v>41755</v>
      </c>
      <c r="B274" s="7">
        <f t="shared" si="25"/>
        <v>40395</v>
      </c>
      <c r="C274" s="7">
        <v>39864</v>
      </c>
      <c r="D274" s="7">
        <v>216</v>
      </c>
      <c r="E274" s="7">
        <v>294</v>
      </c>
      <c r="F274" s="7">
        <v>18</v>
      </c>
      <c r="G274" s="7">
        <v>3</v>
      </c>
      <c r="H274" s="7">
        <v>0</v>
      </c>
      <c r="I274" s="7">
        <v>0</v>
      </c>
      <c r="J274" s="7">
        <v>0</v>
      </c>
      <c r="K274" s="7">
        <f t="shared" si="27"/>
        <v>-22521</v>
      </c>
      <c r="L274" s="7">
        <f t="shared" si="28"/>
        <v>-729</v>
      </c>
      <c r="M274" s="8">
        <f t="shared" si="29"/>
        <v>-0.35795346175853515</v>
      </c>
      <c r="N274" s="8">
        <f t="shared" si="30"/>
        <v>-1.7958761362796505E-2</v>
      </c>
      <c r="O274" s="7">
        <v>5592</v>
      </c>
      <c r="Q274" s="3"/>
      <c r="R274" s="3"/>
      <c r="S274" s="6"/>
      <c r="T274" s="7"/>
      <c r="U274" s="7"/>
      <c r="V274" s="7"/>
      <c r="W274" s="7"/>
      <c r="X274" s="7"/>
      <c r="Y274" s="7"/>
      <c r="Z274" s="7"/>
      <c r="AA274" s="7"/>
      <c r="AB274" s="7"/>
      <c r="AC274" s="7"/>
      <c r="AD274" s="7"/>
      <c r="AE274" s="8"/>
      <c r="AF274" s="8"/>
      <c r="AG274" s="7"/>
    </row>
    <row r="275" spans="1:33" ht="19.7" customHeight="1" x14ac:dyDescent="0.25">
      <c r="A275" s="6">
        <f t="shared" si="26"/>
        <v>41762</v>
      </c>
      <c r="B275" s="7">
        <f t="shared" si="25"/>
        <v>40752</v>
      </c>
      <c r="C275" s="7">
        <v>40281</v>
      </c>
      <c r="D275" s="7">
        <v>185</v>
      </c>
      <c r="E275" s="7">
        <v>253</v>
      </c>
      <c r="F275" s="7">
        <v>31</v>
      </c>
      <c r="G275" s="7">
        <v>2</v>
      </c>
      <c r="H275" s="7">
        <v>0</v>
      </c>
      <c r="I275" s="7">
        <v>0</v>
      </c>
      <c r="J275" s="7">
        <v>0</v>
      </c>
      <c r="K275" s="7">
        <f t="shared" si="27"/>
        <v>-22994</v>
      </c>
      <c r="L275" s="7">
        <f t="shared" si="28"/>
        <v>-1536</v>
      </c>
      <c r="M275" s="8">
        <f t="shared" si="29"/>
        <v>-0.36071282904025348</v>
      </c>
      <c r="N275" s="8">
        <f t="shared" si="30"/>
        <v>-3.673147284597178E-2</v>
      </c>
      <c r="O275" s="7">
        <v>5025</v>
      </c>
      <c r="Q275" s="3"/>
      <c r="R275" s="3"/>
      <c r="S275" s="6"/>
      <c r="T275" s="7"/>
      <c r="U275" s="7"/>
      <c r="V275" s="7"/>
      <c r="W275" s="7"/>
      <c r="X275" s="7"/>
      <c r="Y275" s="7"/>
      <c r="Z275" s="7"/>
      <c r="AA275" s="7"/>
      <c r="AB275" s="7"/>
      <c r="AC275" s="7"/>
      <c r="AD275" s="7"/>
      <c r="AE275" s="8"/>
      <c r="AF275" s="8"/>
      <c r="AG275" s="7"/>
    </row>
    <row r="276" spans="1:33" ht="19.7" customHeight="1" x14ac:dyDescent="0.25">
      <c r="A276" s="6">
        <f t="shared" si="26"/>
        <v>41769</v>
      </c>
      <c r="B276" s="7">
        <f t="shared" si="25"/>
        <v>40978</v>
      </c>
      <c r="C276" s="7">
        <v>40520</v>
      </c>
      <c r="D276" s="7">
        <v>170</v>
      </c>
      <c r="E276" s="7">
        <v>270</v>
      </c>
      <c r="F276" s="7">
        <v>17</v>
      </c>
      <c r="G276" s="7">
        <v>1</v>
      </c>
      <c r="H276" s="7">
        <v>0</v>
      </c>
      <c r="I276" s="7">
        <v>0</v>
      </c>
      <c r="J276" s="7">
        <v>0</v>
      </c>
      <c r="K276" s="7">
        <f t="shared" si="27"/>
        <v>-22723</v>
      </c>
      <c r="L276" s="7">
        <f t="shared" si="28"/>
        <v>-1247</v>
      </c>
      <c r="M276" s="8">
        <f t="shared" si="29"/>
        <v>-0.35671339539410685</v>
      </c>
      <c r="N276" s="8">
        <f t="shared" si="30"/>
        <v>-2.9856106495558699E-2</v>
      </c>
      <c r="O276" s="7">
        <v>4853</v>
      </c>
      <c r="Q276" s="3"/>
      <c r="R276" s="3"/>
      <c r="S276" s="6"/>
      <c r="T276" s="7"/>
      <c r="U276" s="7"/>
      <c r="V276" s="7"/>
      <c r="W276" s="7"/>
      <c r="X276" s="7"/>
      <c r="Y276" s="7"/>
      <c r="Z276" s="7"/>
      <c r="AA276" s="7"/>
      <c r="AB276" s="7"/>
      <c r="AC276" s="7"/>
      <c r="AD276" s="7"/>
      <c r="AE276" s="8"/>
      <c r="AF276" s="8"/>
      <c r="AG276" s="7"/>
    </row>
    <row r="277" spans="1:33" ht="19.7" customHeight="1" x14ac:dyDescent="0.25">
      <c r="A277" s="6">
        <f t="shared" si="26"/>
        <v>41776</v>
      </c>
      <c r="B277" s="7">
        <f t="shared" si="25"/>
        <v>40787</v>
      </c>
      <c r="C277" s="7">
        <v>40343</v>
      </c>
      <c r="D277" s="7">
        <v>162</v>
      </c>
      <c r="E277" s="7">
        <v>272</v>
      </c>
      <c r="F277" s="7">
        <v>8</v>
      </c>
      <c r="G277" s="7">
        <v>2</v>
      </c>
      <c r="H277" s="7">
        <v>0</v>
      </c>
      <c r="I277" s="7">
        <v>0</v>
      </c>
      <c r="J277" s="7">
        <v>0</v>
      </c>
      <c r="K277" s="7">
        <f t="shared" si="27"/>
        <v>-23090</v>
      </c>
      <c r="L277" s="7">
        <f t="shared" si="28"/>
        <v>-1836</v>
      </c>
      <c r="M277" s="8">
        <f t="shared" si="29"/>
        <v>-0.36147596161372642</v>
      </c>
      <c r="N277" s="8">
        <f t="shared" si="30"/>
        <v>-4.3528770241115233E-2</v>
      </c>
      <c r="O277" s="7">
        <v>5042</v>
      </c>
      <c r="Q277" s="3"/>
      <c r="R277" s="3"/>
      <c r="S277" s="6"/>
      <c r="T277" s="7"/>
      <c r="U277" s="7"/>
      <c r="V277" s="7"/>
      <c r="W277" s="7"/>
      <c r="X277" s="7"/>
      <c r="Y277" s="7"/>
      <c r="Z277" s="7"/>
      <c r="AA277" s="7"/>
      <c r="AB277" s="7"/>
      <c r="AC277" s="7"/>
      <c r="AD277" s="7"/>
      <c r="AE277" s="8"/>
      <c r="AF277" s="8"/>
      <c r="AG277" s="7"/>
    </row>
    <row r="278" spans="1:33" ht="19.7" customHeight="1" x14ac:dyDescent="0.25">
      <c r="A278" s="6">
        <f t="shared" si="26"/>
        <v>41783</v>
      </c>
      <c r="B278" s="7">
        <f t="shared" si="25"/>
        <v>41042</v>
      </c>
      <c r="C278" s="7">
        <v>40602</v>
      </c>
      <c r="D278" s="7">
        <v>144</v>
      </c>
      <c r="E278" s="7">
        <v>281</v>
      </c>
      <c r="F278" s="7">
        <v>15</v>
      </c>
      <c r="G278" s="7">
        <v>0</v>
      </c>
      <c r="H278" s="7">
        <v>0</v>
      </c>
      <c r="I278" s="7">
        <v>0</v>
      </c>
      <c r="J278" s="7">
        <v>0</v>
      </c>
      <c r="K278" s="7">
        <f t="shared" si="27"/>
        <v>-22719</v>
      </c>
      <c r="L278" s="7">
        <f t="shared" si="28"/>
        <v>-1462</v>
      </c>
      <c r="M278" s="8">
        <f t="shared" si="29"/>
        <v>-0.35631498878624868</v>
      </c>
      <c r="N278" s="8">
        <f t="shared" si="30"/>
        <v>-3.475656143020156E-2</v>
      </c>
      <c r="O278" s="7">
        <v>5301</v>
      </c>
      <c r="Q278" s="3"/>
      <c r="R278" s="3"/>
      <c r="S278" s="6"/>
      <c r="T278" s="7"/>
      <c r="U278" s="7"/>
      <c r="V278" s="7"/>
      <c r="W278" s="7"/>
      <c r="X278" s="7"/>
      <c r="Y278" s="7"/>
      <c r="Z278" s="7"/>
      <c r="AA278" s="7"/>
      <c r="AB278" s="7"/>
      <c r="AC278" s="7"/>
      <c r="AD278" s="7"/>
      <c r="AE278" s="8"/>
      <c r="AF278" s="8"/>
      <c r="AG278" s="7"/>
    </row>
    <row r="279" spans="1:33" ht="19.7" customHeight="1" x14ac:dyDescent="0.25">
      <c r="A279" s="6">
        <f t="shared" si="26"/>
        <v>41790</v>
      </c>
      <c r="B279" s="7">
        <f t="shared" si="25"/>
        <v>40770</v>
      </c>
      <c r="C279" s="7">
        <v>40287</v>
      </c>
      <c r="D279" s="7">
        <v>188</v>
      </c>
      <c r="E279" s="7">
        <v>289</v>
      </c>
      <c r="F279" s="7">
        <v>6</v>
      </c>
      <c r="G279" s="7">
        <v>0</v>
      </c>
      <c r="H279" s="7">
        <v>0</v>
      </c>
      <c r="I279" s="7">
        <v>0</v>
      </c>
      <c r="J279" s="7">
        <v>0</v>
      </c>
      <c r="K279" s="7">
        <f t="shared" si="27"/>
        <v>-20890</v>
      </c>
      <c r="L279" s="7">
        <f t="shared" si="28"/>
        <v>-561</v>
      </c>
      <c r="M279" s="8">
        <f t="shared" si="29"/>
        <v>-0.33879338306843987</v>
      </c>
      <c r="N279" s="8">
        <f t="shared" si="30"/>
        <v>-1.3733842538190322E-2</v>
      </c>
      <c r="O279" s="7">
        <v>5469</v>
      </c>
      <c r="Q279" s="3"/>
      <c r="R279" s="3"/>
      <c r="S279" s="6"/>
      <c r="T279" s="7"/>
      <c r="U279" s="7"/>
      <c r="V279" s="7"/>
      <c r="W279" s="7"/>
      <c r="X279" s="7"/>
      <c r="Y279" s="7"/>
      <c r="Z279" s="7"/>
      <c r="AA279" s="7"/>
      <c r="AB279" s="7"/>
      <c r="AC279" s="7"/>
      <c r="AD279" s="7"/>
      <c r="AE279" s="8"/>
      <c r="AF279" s="8"/>
      <c r="AG279" s="7"/>
    </row>
    <row r="280" spans="1:33" ht="19.7" customHeight="1" x14ac:dyDescent="0.25">
      <c r="A280" s="6">
        <f t="shared" si="26"/>
        <v>41797</v>
      </c>
      <c r="B280" s="7">
        <f t="shared" ref="B280" si="31">SUM(C280:J280)</f>
        <v>42811</v>
      </c>
      <c r="C280" s="7">
        <v>42203</v>
      </c>
      <c r="D280" s="7">
        <v>262</v>
      </c>
      <c r="E280" s="7">
        <v>288</v>
      </c>
      <c r="F280" s="7">
        <v>33</v>
      </c>
      <c r="G280" s="7">
        <v>0</v>
      </c>
      <c r="H280" s="7">
        <v>0</v>
      </c>
      <c r="I280" s="7">
        <v>25</v>
      </c>
      <c r="J280" s="7">
        <v>0</v>
      </c>
      <c r="K280" s="7">
        <f t="shared" ref="K280" si="32">IF(B280=0,"",B280-B228)</f>
        <v>-21115</v>
      </c>
      <c r="L280" s="7">
        <f t="shared" ref="L280" si="33">IF(C280=0,"",C280-C228)</f>
        <v>-625</v>
      </c>
      <c r="M280" s="8">
        <f t="shared" ref="M280" si="34">IF(K280="","",B280/B228-1)</f>
        <v>-0.33030378875574884</v>
      </c>
      <c r="N280" s="8">
        <f t="shared" ref="N280" si="35">IF(L280="","",C280/C228-1)</f>
        <v>-1.459325674792189E-2</v>
      </c>
      <c r="O280" s="7">
        <v>6100</v>
      </c>
      <c r="Q280" s="3"/>
      <c r="R280" s="3"/>
      <c r="S280" s="6"/>
      <c r="T280" s="7"/>
      <c r="U280" s="7"/>
      <c r="V280" s="7"/>
      <c r="W280" s="7"/>
      <c r="X280" s="7"/>
      <c r="Y280" s="7"/>
      <c r="Z280" s="7"/>
      <c r="AA280" s="7"/>
      <c r="AB280" s="7"/>
      <c r="AC280" s="7"/>
      <c r="AD280" s="7"/>
      <c r="AE280" s="8"/>
      <c r="AF280" s="8"/>
      <c r="AG280" s="7"/>
    </row>
    <row r="281" spans="1:33" ht="19.7" customHeight="1" x14ac:dyDescent="0.25">
      <c r="A281" s="6">
        <f t="shared" si="26"/>
        <v>41804</v>
      </c>
      <c r="B281" s="7">
        <f t="shared" ref="B281:B282" si="36">SUM(C281:J281)</f>
        <v>43150</v>
      </c>
      <c r="C281" s="7">
        <v>42574</v>
      </c>
      <c r="D281" s="7">
        <v>311</v>
      </c>
      <c r="E281" s="7">
        <v>260</v>
      </c>
      <c r="F281" s="7">
        <v>3</v>
      </c>
      <c r="G281" s="7">
        <v>0</v>
      </c>
      <c r="H281" s="7">
        <v>0</v>
      </c>
      <c r="I281" s="7">
        <v>2</v>
      </c>
      <c r="J281" s="7">
        <v>0</v>
      </c>
      <c r="K281" s="7">
        <f t="shared" ref="K281:K282" si="37">IF(B281=0,"",B281-B229)</f>
        <v>-21466</v>
      </c>
      <c r="L281" s="7">
        <f t="shared" ref="L281:L282" si="38">IF(C281=0,"",C281-C229)</f>
        <v>-1051</v>
      </c>
      <c r="M281" s="8">
        <f t="shared" ref="M281:M282" si="39">IF(K281="","",B281/B229-1)</f>
        <v>-0.33220874086913454</v>
      </c>
      <c r="N281" s="8">
        <f t="shared" ref="N281:N282" si="40">IF(L281="","",C281/C229-1)</f>
        <v>-2.4091690544412625E-2</v>
      </c>
      <c r="O281" s="7">
        <v>5255</v>
      </c>
      <c r="Q281" s="3"/>
      <c r="R281" s="3"/>
      <c r="S281" s="6"/>
      <c r="T281" s="7"/>
      <c r="U281" s="7"/>
      <c r="V281" s="7"/>
      <c r="W281" s="7"/>
      <c r="X281" s="7"/>
      <c r="Y281" s="7"/>
      <c r="Z281" s="7"/>
      <c r="AA281" s="7"/>
      <c r="AB281" s="7"/>
      <c r="AC281" s="7"/>
      <c r="AD281" s="7"/>
      <c r="AE281" s="8"/>
      <c r="AF281" s="8"/>
      <c r="AG281" s="7"/>
    </row>
    <row r="282" spans="1:33" ht="19.7" customHeight="1" x14ac:dyDescent="0.25">
      <c r="A282" s="6">
        <f t="shared" si="26"/>
        <v>41811</v>
      </c>
      <c r="B282" s="7">
        <f t="shared" si="36"/>
        <v>43382</v>
      </c>
      <c r="C282" s="7">
        <v>42784</v>
      </c>
      <c r="D282" s="7">
        <v>307</v>
      </c>
      <c r="E282" s="7">
        <v>291</v>
      </c>
      <c r="F282" s="7">
        <v>0</v>
      </c>
      <c r="G282" s="7">
        <v>0</v>
      </c>
      <c r="H282" s="7">
        <v>0</v>
      </c>
      <c r="I282" s="7">
        <v>0</v>
      </c>
      <c r="J282" s="7">
        <v>0</v>
      </c>
      <c r="K282" s="7">
        <f t="shared" si="37"/>
        <v>-20926</v>
      </c>
      <c r="L282" s="7">
        <f t="shared" si="38"/>
        <v>-1034</v>
      </c>
      <c r="M282" s="8">
        <f t="shared" si="39"/>
        <v>-0.32540274926914226</v>
      </c>
      <c r="N282" s="8">
        <f t="shared" si="40"/>
        <v>-2.3597608288831062E-2</v>
      </c>
      <c r="O282" s="7">
        <v>4960</v>
      </c>
      <c r="Q282" s="3"/>
      <c r="R282" s="3"/>
      <c r="S282" s="6"/>
      <c r="T282" s="7"/>
      <c r="U282" s="7"/>
      <c r="V282" s="7"/>
      <c r="W282" s="7"/>
      <c r="X282" s="7"/>
      <c r="Y282" s="7"/>
      <c r="Z282" s="7"/>
      <c r="AA282" s="7"/>
      <c r="AB282" s="7"/>
      <c r="AC282" s="7"/>
      <c r="AD282" s="7"/>
      <c r="AE282" s="8"/>
      <c r="AF282" s="8"/>
      <c r="AG282" s="7"/>
    </row>
    <row r="283" spans="1:33" ht="19.7" customHeight="1" x14ac:dyDescent="0.25">
      <c r="A283" s="6">
        <f t="shared" si="26"/>
        <v>41818</v>
      </c>
      <c r="B283" s="7">
        <v>43715</v>
      </c>
      <c r="C283" s="7">
        <v>43149</v>
      </c>
      <c r="D283" s="7">
        <v>305</v>
      </c>
      <c r="E283" s="7">
        <v>287</v>
      </c>
      <c r="F283" s="7">
        <v>0</v>
      </c>
      <c r="G283" s="7">
        <v>0</v>
      </c>
      <c r="H283" s="7">
        <v>0</v>
      </c>
      <c r="I283" s="7">
        <v>32</v>
      </c>
      <c r="J283" s="7">
        <v>0</v>
      </c>
      <c r="K283" s="7">
        <v>-21040</v>
      </c>
      <c r="L283" s="7">
        <v>-1071</v>
      </c>
      <c r="M283" s="8">
        <v>-0.32491699482665426</v>
      </c>
      <c r="N283" s="8">
        <v>-2.4251619038992756E-2</v>
      </c>
      <c r="O283" s="7">
        <v>5176</v>
      </c>
      <c r="Q283" s="3"/>
      <c r="R283" s="3"/>
      <c r="S283" s="6"/>
      <c r="T283" s="7"/>
      <c r="U283" s="7"/>
      <c r="V283" s="7"/>
      <c r="W283" s="7"/>
      <c r="X283" s="7"/>
      <c r="Y283" s="7"/>
      <c r="Z283" s="7"/>
      <c r="AA283" s="7"/>
      <c r="AB283" s="7"/>
      <c r="AC283" s="7"/>
      <c r="AD283" s="7"/>
      <c r="AE283" s="8"/>
      <c r="AF283" s="8"/>
      <c r="AG283" s="7"/>
    </row>
    <row r="284" spans="1:33" ht="19.7" customHeight="1" x14ac:dyDescent="0.25">
      <c r="A284" s="6">
        <f t="shared" si="26"/>
        <v>41825</v>
      </c>
      <c r="B284" s="7">
        <v>41590</v>
      </c>
      <c r="C284" s="7">
        <v>41070</v>
      </c>
      <c r="D284" s="7">
        <v>324</v>
      </c>
      <c r="E284" s="7">
        <v>274</v>
      </c>
      <c r="F284" s="7">
        <v>0</v>
      </c>
      <c r="G284" s="7">
        <v>0</v>
      </c>
      <c r="H284" s="7">
        <v>0</v>
      </c>
      <c r="I284" s="7">
        <v>0</v>
      </c>
      <c r="J284" s="7">
        <v>0</v>
      </c>
      <c r="K284" s="7">
        <v>-20549</v>
      </c>
      <c r="L284" s="7">
        <v>-1909</v>
      </c>
      <c r="M284" s="8">
        <v>-0.33069408905840136</v>
      </c>
      <c r="N284" s="8">
        <v>-4.4497797254143268E-2</v>
      </c>
      <c r="O284" s="7">
        <v>5131</v>
      </c>
      <c r="Q284" s="3"/>
      <c r="R284" s="3"/>
      <c r="S284" s="6"/>
      <c r="T284" s="7"/>
      <c r="U284" s="7"/>
      <c r="V284" s="7"/>
      <c r="W284" s="7"/>
      <c r="X284" s="7"/>
      <c r="Y284" s="7"/>
      <c r="Z284" s="7"/>
      <c r="AA284" s="7"/>
      <c r="AB284" s="7"/>
      <c r="AC284" s="7"/>
      <c r="AD284" s="7"/>
      <c r="AE284" s="8"/>
      <c r="AF284" s="8"/>
      <c r="AG284" s="7"/>
    </row>
    <row r="285" spans="1:33" ht="19.7" customHeight="1" x14ac:dyDescent="0.25">
      <c r="A285" s="6">
        <v>41832</v>
      </c>
      <c r="B285" s="7">
        <v>45973</v>
      </c>
      <c r="C285" s="7">
        <v>45393</v>
      </c>
      <c r="D285" s="7">
        <v>346</v>
      </c>
      <c r="E285" s="7">
        <v>298</v>
      </c>
      <c r="F285" s="7">
        <v>0</v>
      </c>
      <c r="G285" s="7">
        <v>0</v>
      </c>
      <c r="H285" s="7">
        <v>0</v>
      </c>
      <c r="I285" s="7">
        <v>0</v>
      </c>
      <c r="J285" s="7">
        <v>0</v>
      </c>
      <c r="K285" s="7">
        <v>-16166</v>
      </c>
      <c r="L285" s="7">
        <v>2428</v>
      </c>
      <c r="M285" s="8">
        <v>-0.2601586765155538</v>
      </c>
      <c r="N285" s="8">
        <v>5.6595417356238853E-2</v>
      </c>
      <c r="O285" s="7">
        <v>7668</v>
      </c>
      <c r="Q285" s="3"/>
      <c r="R285" s="3"/>
      <c r="S285" s="6"/>
      <c r="T285" s="7"/>
      <c r="U285" s="7"/>
      <c r="V285" s="7"/>
      <c r="W285" s="7"/>
      <c r="X285" s="7"/>
      <c r="Y285" s="7"/>
      <c r="Z285" s="7"/>
      <c r="AA285" s="7"/>
      <c r="AB285" s="7"/>
      <c r="AC285" s="7"/>
      <c r="AD285" s="7"/>
      <c r="AE285" s="8"/>
      <c r="AF285" s="8"/>
      <c r="AG285" s="7"/>
    </row>
    <row r="286" spans="1:33" ht="19.7" customHeight="1" x14ac:dyDescent="0.25">
      <c r="A286" s="6">
        <v>41839</v>
      </c>
      <c r="B286" s="7">
        <v>46122</v>
      </c>
      <c r="C286" s="7">
        <v>45495</v>
      </c>
      <c r="D286" s="7">
        <v>391</v>
      </c>
      <c r="E286" s="7">
        <v>272</v>
      </c>
      <c r="F286" s="7">
        <v>2</v>
      </c>
      <c r="G286" s="7">
        <v>0</v>
      </c>
      <c r="H286" s="7">
        <v>0</v>
      </c>
      <c r="I286" s="7">
        <v>0</v>
      </c>
      <c r="J286" s="7">
        <v>0</v>
      </c>
      <c r="K286" s="7">
        <v>-16017</v>
      </c>
      <c r="L286" s="7">
        <v>2556</v>
      </c>
      <c r="M286" s="8">
        <v>-0.25776082653406074</v>
      </c>
      <c r="N286" s="8">
        <v>5.957903079182314E-2</v>
      </c>
      <c r="O286" s="7">
        <v>5395</v>
      </c>
      <c r="Q286" s="3"/>
      <c r="R286" s="3"/>
      <c r="S286" s="6"/>
      <c r="T286" s="7"/>
      <c r="U286" s="7"/>
      <c r="V286" s="7"/>
      <c r="W286" s="7"/>
      <c r="X286" s="7"/>
      <c r="Y286" s="7"/>
      <c r="Z286" s="7"/>
      <c r="AA286" s="7"/>
      <c r="AB286" s="7"/>
      <c r="AC286" s="7"/>
      <c r="AD286" s="7"/>
      <c r="AE286" s="8"/>
      <c r="AF286" s="8"/>
      <c r="AG286" s="7"/>
    </row>
    <row r="287" spans="1:33" ht="19.7" customHeight="1" x14ac:dyDescent="0.25">
      <c r="A287" s="6">
        <v>41846</v>
      </c>
      <c r="B287" s="7">
        <v>46362</v>
      </c>
      <c r="C287" s="7">
        <v>45728</v>
      </c>
      <c r="D287" s="7">
        <v>378</v>
      </c>
      <c r="E287" s="7">
        <v>301</v>
      </c>
      <c r="F287" s="7">
        <v>1</v>
      </c>
      <c r="G287" s="7">
        <v>0</v>
      </c>
      <c r="H287" s="7">
        <v>0</v>
      </c>
      <c r="I287" s="7">
        <v>0</v>
      </c>
      <c r="J287" s="7">
        <v>0</v>
      </c>
      <c r="K287" s="7">
        <v>-15777</v>
      </c>
      <c r="L287" s="7">
        <v>2781</v>
      </c>
      <c r="M287" s="8">
        <v>-0.25389851783903827</v>
      </c>
      <c r="N287" s="8">
        <v>6.4823663784060903E-2</v>
      </c>
      <c r="O287" s="7">
        <v>4992</v>
      </c>
      <c r="Q287" s="3"/>
      <c r="R287" s="3"/>
      <c r="S287" s="6"/>
      <c r="T287" s="7"/>
      <c r="U287" s="7"/>
      <c r="V287" s="7"/>
      <c r="W287" s="7"/>
      <c r="X287" s="7"/>
      <c r="Y287" s="7"/>
      <c r="Z287" s="7"/>
      <c r="AA287" s="7"/>
      <c r="AB287" s="7"/>
      <c r="AC287" s="7"/>
      <c r="AD287" s="7"/>
      <c r="AE287" s="8"/>
      <c r="AF287" s="8"/>
      <c r="AG287" s="7"/>
    </row>
    <row r="288" spans="1:33" ht="19.7" customHeight="1" x14ac:dyDescent="0.25">
      <c r="A288" s="6">
        <v>41853</v>
      </c>
      <c r="B288" s="7">
        <v>45672</v>
      </c>
      <c r="C288" s="7">
        <v>45034</v>
      </c>
      <c r="D288" s="7">
        <v>346</v>
      </c>
      <c r="E288" s="7">
        <v>308</v>
      </c>
      <c r="F288" s="7">
        <v>39</v>
      </c>
      <c r="G288" s="7">
        <v>0</v>
      </c>
      <c r="H288" s="7">
        <v>0</v>
      </c>
      <c r="I288" s="7">
        <v>0</v>
      </c>
      <c r="J288" s="7">
        <v>0</v>
      </c>
      <c r="K288" s="7">
        <v>-16467</v>
      </c>
      <c r="L288" s="7">
        <v>2078</v>
      </c>
      <c r="M288" s="8">
        <v>-0.30777974810166875</v>
      </c>
      <c r="N288" s="8">
        <v>-5.2415362251669539E-2</v>
      </c>
      <c r="O288" s="7">
        <v>4744</v>
      </c>
      <c r="Q288" s="3"/>
      <c r="R288" s="3"/>
      <c r="S288" s="6"/>
      <c r="T288" s="7"/>
      <c r="U288" s="7"/>
      <c r="V288" s="7"/>
      <c r="W288" s="7"/>
      <c r="X288" s="7"/>
      <c r="Y288" s="7"/>
      <c r="Z288" s="7"/>
      <c r="AA288" s="7"/>
      <c r="AB288" s="7"/>
      <c r="AC288" s="7"/>
      <c r="AD288" s="7"/>
      <c r="AE288" s="8"/>
      <c r="AF288" s="8"/>
      <c r="AG288" s="7"/>
    </row>
    <row r="289" spans="1:33" ht="19.7" customHeight="1" x14ac:dyDescent="0.25">
      <c r="A289" s="6">
        <v>41860</v>
      </c>
      <c r="B289" s="7">
        <v>45060</v>
      </c>
      <c r="C289" s="7">
        <v>44549</v>
      </c>
      <c r="D289" s="7">
        <v>252</v>
      </c>
      <c r="E289" s="7">
        <v>291</v>
      </c>
      <c r="F289" s="7">
        <v>0</v>
      </c>
      <c r="G289" s="7">
        <v>0</v>
      </c>
      <c r="H289" s="7">
        <v>2</v>
      </c>
      <c r="I289" s="7">
        <v>4</v>
      </c>
      <c r="J289" s="7">
        <v>0</v>
      </c>
      <c r="K289" s="7">
        <v>-17079</v>
      </c>
      <c r="L289" s="7">
        <v>1610</v>
      </c>
      <c r="M289" s="8">
        <v>-0.27485154250953503</v>
      </c>
      <c r="N289" s="8">
        <v>3.7528262744458196E-2</v>
      </c>
      <c r="O289" s="7">
        <v>4787</v>
      </c>
      <c r="Q289" s="3"/>
      <c r="R289" s="3"/>
      <c r="S289" s="6"/>
      <c r="T289" s="7"/>
      <c r="U289" s="7"/>
      <c r="V289" s="7"/>
      <c r="W289" s="7"/>
      <c r="X289" s="7"/>
      <c r="Y289" s="7"/>
      <c r="Z289" s="7"/>
      <c r="AA289" s="7"/>
      <c r="AB289" s="7"/>
      <c r="AC289" s="7"/>
      <c r="AD289" s="7"/>
      <c r="AE289" s="8"/>
      <c r="AF289" s="8"/>
      <c r="AG289" s="7"/>
    </row>
    <row r="290" spans="1:33" ht="19.7" customHeight="1" x14ac:dyDescent="0.25">
      <c r="A290" s="6">
        <v>41867</v>
      </c>
      <c r="B290" s="7">
        <v>43959</v>
      </c>
      <c r="C290" s="7">
        <v>43494</v>
      </c>
      <c r="D290" s="7">
        <v>192</v>
      </c>
      <c r="E290" s="7">
        <v>309</v>
      </c>
      <c r="F290" s="7">
        <v>0</v>
      </c>
      <c r="G290" s="7">
        <v>0</v>
      </c>
      <c r="H290" s="7">
        <v>1</v>
      </c>
      <c r="I290" s="7">
        <v>0</v>
      </c>
      <c r="J290" s="7">
        <v>0</v>
      </c>
      <c r="K290" s="7">
        <v>-18180</v>
      </c>
      <c r="L290" s="7">
        <v>556</v>
      </c>
      <c r="M290" s="8">
        <v>-0.29256988364795056</v>
      </c>
      <c r="N290" s="8">
        <v>1.2960070860819073E-2</v>
      </c>
      <c r="O290" s="7">
        <v>4381</v>
      </c>
      <c r="Q290" s="3"/>
      <c r="R290" s="3"/>
      <c r="S290" s="6"/>
      <c r="T290" s="7"/>
      <c r="U290" s="7"/>
      <c r="V290" s="7"/>
      <c r="W290" s="7"/>
      <c r="X290" s="7"/>
      <c r="Y290" s="7"/>
      <c r="Z290" s="7"/>
      <c r="AA290" s="7"/>
      <c r="AB290" s="7"/>
      <c r="AC290" s="7"/>
      <c r="AD290" s="7"/>
      <c r="AE290" s="8"/>
      <c r="AF290" s="8"/>
      <c r="AG290" s="7"/>
    </row>
    <row r="291" spans="1:33" ht="19.7" customHeight="1" x14ac:dyDescent="0.25">
      <c r="A291" s="6">
        <v>41874</v>
      </c>
      <c r="B291" s="7">
        <v>43362</v>
      </c>
      <c r="C291" s="7">
        <v>41987</v>
      </c>
      <c r="D291" s="7">
        <v>172</v>
      </c>
      <c r="E291" s="7">
        <v>312</v>
      </c>
      <c r="F291" s="7">
        <v>946</v>
      </c>
      <c r="G291" s="7">
        <v>2</v>
      </c>
      <c r="H291" s="7">
        <v>0</v>
      </c>
      <c r="I291" s="7">
        <v>15</v>
      </c>
      <c r="J291" s="7">
        <v>0</v>
      </c>
      <c r="K291" s="7">
        <f t="shared" si="27"/>
        <v>-21496</v>
      </c>
      <c r="L291" s="7">
        <f t="shared" si="28"/>
        <v>-4104</v>
      </c>
      <c r="M291" s="8">
        <f t="shared" si="29"/>
        <v>-0.3314317431928212</v>
      </c>
      <c r="N291" s="8">
        <f t="shared" si="30"/>
        <v>-8.9041244494586835E-2</v>
      </c>
      <c r="O291" s="7">
        <v>4296</v>
      </c>
      <c r="Q291" s="3"/>
      <c r="R291" s="3"/>
      <c r="S291" s="6"/>
      <c r="T291" s="7"/>
      <c r="U291" s="7"/>
      <c r="V291" s="7"/>
      <c r="W291" s="7"/>
      <c r="X291" s="7"/>
      <c r="Y291" s="7"/>
      <c r="Z291" s="7"/>
      <c r="AA291" s="7"/>
      <c r="AB291" s="7"/>
      <c r="AC291" s="7"/>
      <c r="AD291" s="7"/>
      <c r="AE291" s="8"/>
      <c r="AF291" s="8"/>
      <c r="AG291" s="7"/>
    </row>
    <row r="292" spans="1:33" ht="19.7" customHeight="1" x14ac:dyDescent="0.25">
      <c r="A292" s="6">
        <v>41881</v>
      </c>
      <c r="B292" s="7">
        <v>40827</v>
      </c>
      <c r="C292" s="7">
        <v>40438</v>
      </c>
      <c r="D292" s="7">
        <v>143</v>
      </c>
      <c r="E292" s="7">
        <v>293</v>
      </c>
      <c r="F292" s="7">
        <v>1</v>
      </c>
      <c r="G292" s="7">
        <v>0</v>
      </c>
      <c r="H292" s="7">
        <v>0</v>
      </c>
      <c r="I292" s="7">
        <v>12</v>
      </c>
      <c r="J292" s="7">
        <v>0</v>
      </c>
      <c r="K292" s="7">
        <f t="shared" ref="K292" si="41">IF(B292=0,"",B292-B240)</f>
        <v>-21873</v>
      </c>
      <c r="L292" s="7">
        <f t="shared" ref="L292" si="42">IF(C292=0,"",C292-C240)</f>
        <v>-3616</v>
      </c>
      <c r="M292" s="8">
        <f t="shared" ref="M292" si="43">IF(K292="","",B292/B240-1)</f>
        <v>-0.3488516746411483</v>
      </c>
      <c r="N292" s="8">
        <f t="shared" ref="N292" si="44">IF(L292="","",C292/C240-1)</f>
        <v>-8.2081082308076425E-2</v>
      </c>
      <c r="O292" s="7">
        <v>4221</v>
      </c>
      <c r="Q292" s="3"/>
      <c r="R292" s="3"/>
      <c r="S292" s="6"/>
      <c r="T292" s="7"/>
      <c r="U292" s="7"/>
      <c r="V292" s="7"/>
      <c r="W292" s="7"/>
      <c r="X292" s="7"/>
      <c r="Y292" s="7"/>
      <c r="Z292" s="7"/>
      <c r="AA292" s="7"/>
      <c r="AB292" s="7"/>
      <c r="AC292" s="7"/>
      <c r="AD292" s="7"/>
      <c r="AE292" s="8"/>
      <c r="AF292" s="8"/>
      <c r="AG292" s="7"/>
    </row>
    <row r="293" spans="1:33" ht="19.7" customHeight="1" x14ac:dyDescent="0.25">
      <c r="A293" s="6">
        <v>41888</v>
      </c>
      <c r="B293" s="7">
        <v>39374</v>
      </c>
      <c r="C293" s="7">
        <v>38953</v>
      </c>
      <c r="D293" s="7">
        <v>150</v>
      </c>
      <c r="E293" s="7">
        <v>305</v>
      </c>
      <c r="F293" s="7">
        <v>1</v>
      </c>
      <c r="G293" s="7">
        <v>0</v>
      </c>
      <c r="H293" s="7">
        <v>0</v>
      </c>
      <c r="I293" s="7">
        <v>8</v>
      </c>
      <c r="J293" s="7">
        <v>0</v>
      </c>
      <c r="K293" s="7">
        <v>-20670</v>
      </c>
      <c r="L293" s="7">
        <v>-3018</v>
      </c>
      <c r="M293" s="8">
        <v>-0.34424755179535005</v>
      </c>
      <c r="N293" s="8">
        <v>-7.1980538065254729E-2</v>
      </c>
      <c r="O293" s="7">
        <v>3741</v>
      </c>
      <c r="Q293" s="3"/>
      <c r="R293" s="3"/>
      <c r="S293" s="6"/>
      <c r="T293" s="7"/>
      <c r="U293" s="7"/>
      <c r="V293" s="7"/>
      <c r="W293" s="7"/>
      <c r="X293" s="7"/>
      <c r="Y293" s="7"/>
      <c r="Z293" s="7"/>
      <c r="AA293" s="7"/>
      <c r="AB293" s="7"/>
      <c r="AC293" s="7"/>
      <c r="AD293" s="7"/>
      <c r="AE293" s="8"/>
      <c r="AF293" s="8"/>
      <c r="AG293" s="7"/>
    </row>
    <row r="294" spans="1:33" ht="19.7" customHeight="1" x14ac:dyDescent="0.25">
      <c r="A294" s="6">
        <v>41895</v>
      </c>
      <c r="B294" s="7">
        <v>38473</v>
      </c>
      <c r="C294" s="7">
        <v>38061</v>
      </c>
      <c r="D294" s="7">
        <v>143</v>
      </c>
      <c r="E294" s="7">
        <v>301</v>
      </c>
      <c r="F294" s="7">
        <v>1</v>
      </c>
      <c r="G294" s="7">
        <v>0</v>
      </c>
      <c r="H294" s="7">
        <v>0</v>
      </c>
      <c r="I294" s="7">
        <v>0</v>
      </c>
      <c r="J294" s="7">
        <v>0</v>
      </c>
      <c r="K294" s="7">
        <f t="shared" si="27"/>
        <v>-21165</v>
      </c>
      <c r="L294" s="7">
        <f t="shared" si="28"/>
        <v>-3229</v>
      </c>
      <c r="M294" s="8">
        <f t="shared" si="29"/>
        <v>-0.35489117676649118</v>
      </c>
      <c r="N294" s="8">
        <f t="shared" si="30"/>
        <v>-7.8202954710583694E-2</v>
      </c>
      <c r="O294" s="7">
        <v>4183</v>
      </c>
      <c r="Q294" s="3"/>
      <c r="R294" s="3"/>
      <c r="S294" s="6"/>
      <c r="T294" s="7"/>
      <c r="U294" s="7"/>
      <c r="V294" s="7"/>
      <c r="W294" s="7"/>
      <c r="X294" s="7"/>
      <c r="Y294" s="7"/>
      <c r="Z294" s="7"/>
      <c r="AA294" s="7"/>
      <c r="AB294" s="7"/>
      <c r="AC294" s="7"/>
      <c r="AD294" s="7"/>
      <c r="AE294" s="8"/>
      <c r="AF294" s="8"/>
      <c r="AG294" s="7"/>
    </row>
    <row r="295" spans="1:33" ht="19.7" customHeight="1" x14ac:dyDescent="0.25">
      <c r="A295" s="6">
        <v>41902</v>
      </c>
      <c r="B295" s="7">
        <f>SUM(C295:J295)</f>
        <v>37741</v>
      </c>
      <c r="C295" s="7">
        <v>37292</v>
      </c>
      <c r="D295" s="7">
        <v>146</v>
      </c>
      <c r="E295" s="7">
        <v>302</v>
      </c>
      <c r="F295" s="7">
        <v>1</v>
      </c>
      <c r="G295" s="7">
        <v>0</v>
      </c>
      <c r="H295" s="7">
        <v>0</v>
      </c>
      <c r="I295" s="7">
        <v>0</v>
      </c>
      <c r="J295" s="7">
        <v>0</v>
      </c>
      <c r="K295" s="7">
        <f>IF(B295=0,"",B295-B243)</f>
        <v>-21245</v>
      </c>
      <c r="L295" s="7">
        <f t="shared" si="28"/>
        <v>-3604</v>
      </c>
      <c r="M295" s="8">
        <f t="shared" si="29"/>
        <v>-0.36017020988031057</v>
      </c>
      <c r="N295" s="8">
        <f t="shared" si="30"/>
        <v>-8.8125978090766832E-2</v>
      </c>
      <c r="O295" s="7">
        <v>4384</v>
      </c>
      <c r="Q295" s="3"/>
      <c r="R295" s="3"/>
      <c r="S295" s="6"/>
      <c r="T295" s="7"/>
      <c r="U295" s="7"/>
      <c r="V295" s="7"/>
      <c r="W295" s="7"/>
      <c r="X295" s="7"/>
      <c r="Y295" s="7"/>
      <c r="Z295" s="7"/>
      <c r="AA295" s="7"/>
      <c r="AB295" s="7"/>
      <c r="AC295" s="7"/>
      <c r="AD295" s="7"/>
      <c r="AE295" s="8"/>
      <c r="AF295" s="8"/>
      <c r="AG295" s="7"/>
    </row>
    <row r="296" spans="1:33" ht="19.7" customHeight="1" x14ac:dyDescent="0.25">
      <c r="A296" s="6">
        <v>41909</v>
      </c>
      <c r="B296" s="7">
        <f t="shared" ref="B296:B301" si="45">SUM(C296:J296)</f>
        <v>36931</v>
      </c>
      <c r="C296" s="7">
        <v>36500</v>
      </c>
      <c r="D296" s="7">
        <v>147</v>
      </c>
      <c r="E296" s="7">
        <v>283</v>
      </c>
      <c r="F296" s="7">
        <v>1</v>
      </c>
      <c r="G296" s="7">
        <v>0</v>
      </c>
      <c r="H296" s="7">
        <v>0</v>
      </c>
      <c r="I296" s="7">
        <v>0</v>
      </c>
      <c r="J296" s="7">
        <v>0</v>
      </c>
      <c r="K296" s="7">
        <f>IF(B296=0,"",B296-B244)</f>
        <v>-21606</v>
      </c>
      <c r="L296" s="7">
        <f t="shared" si="28"/>
        <v>-3977</v>
      </c>
      <c r="M296" s="8">
        <f t="shared" si="29"/>
        <v>-0.36909988554247741</v>
      </c>
      <c r="N296" s="8">
        <f t="shared" si="30"/>
        <v>-9.8253329051065985E-2</v>
      </c>
      <c r="O296" s="7">
        <v>4395</v>
      </c>
      <c r="Q296" s="3"/>
      <c r="R296" s="3"/>
      <c r="S296" s="6"/>
      <c r="T296" s="7"/>
      <c r="U296" s="7"/>
      <c r="V296" s="7"/>
      <c r="W296" s="7"/>
      <c r="X296" s="7"/>
      <c r="Y296" s="7"/>
      <c r="Z296" s="7"/>
      <c r="AA296" s="7"/>
      <c r="AB296" s="7"/>
      <c r="AC296" s="7"/>
      <c r="AD296" s="7"/>
      <c r="AE296" s="8"/>
      <c r="AF296" s="8"/>
      <c r="AG296" s="7"/>
    </row>
    <row r="297" spans="1:33" ht="19.7" customHeight="1" x14ac:dyDescent="0.25">
      <c r="A297" s="6">
        <v>41916</v>
      </c>
      <c r="B297" s="7">
        <f t="shared" si="45"/>
        <v>35989</v>
      </c>
      <c r="C297" s="7">
        <v>35554</v>
      </c>
      <c r="D297" s="7">
        <v>146</v>
      </c>
      <c r="E297" s="7">
        <v>286</v>
      </c>
      <c r="F297" s="7">
        <v>1</v>
      </c>
      <c r="G297" s="7">
        <v>0</v>
      </c>
      <c r="H297" s="7">
        <v>0</v>
      </c>
      <c r="I297" s="7">
        <v>2</v>
      </c>
      <c r="J297" s="7">
        <v>0</v>
      </c>
      <c r="K297" s="7">
        <f t="shared" si="27"/>
        <v>-21459</v>
      </c>
      <c r="L297" s="7">
        <f t="shared" si="28"/>
        <v>-4020</v>
      </c>
      <c r="M297" s="8">
        <f t="shared" si="29"/>
        <v>-0.37353780810472081</v>
      </c>
      <c r="N297" s="8">
        <f t="shared" si="30"/>
        <v>-0.10158184666700354</v>
      </c>
      <c r="O297" s="7">
        <v>4455</v>
      </c>
      <c r="Q297" s="3"/>
      <c r="R297" s="3"/>
      <c r="S297" s="6"/>
      <c r="T297" s="7"/>
      <c r="U297" s="7"/>
      <c r="V297" s="7"/>
      <c r="W297" s="7"/>
      <c r="X297" s="7"/>
      <c r="Y297" s="7"/>
      <c r="Z297" s="7"/>
      <c r="AA297" s="7"/>
      <c r="AB297" s="7"/>
      <c r="AC297" s="7"/>
      <c r="AD297" s="7"/>
      <c r="AE297" s="8"/>
      <c r="AF297" s="8"/>
      <c r="AG297" s="7"/>
    </row>
    <row r="298" spans="1:33" ht="19.7" customHeight="1" x14ac:dyDescent="0.25">
      <c r="A298" s="6">
        <v>41923</v>
      </c>
      <c r="B298" s="7">
        <f t="shared" si="45"/>
        <v>35221</v>
      </c>
      <c r="C298" s="7">
        <v>34761</v>
      </c>
      <c r="D298" s="7">
        <v>141</v>
      </c>
      <c r="E298" s="7">
        <v>278</v>
      </c>
      <c r="F298" s="7">
        <v>0</v>
      </c>
      <c r="G298" s="7">
        <v>0</v>
      </c>
      <c r="H298" s="7">
        <v>0</v>
      </c>
      <c r="I298" s="7">
        <v>41</v>
      </c>
      <c r="J298" s="7">
        <v>0</v>
      </c>
      <c r="K298" s="7">
        <f t="shared" si="27"/>
        <v>-20814</v>
      </c>
      <c r="L298" s="7">
        <f t="shared" si="28"/>
        <v>-3851</v>
      </c>
      <c r="M298" s="8">
        <f t="shared" si="29"/>
        <v>-0.37144641741768536</v>
      </c>
      <c r="N298" s="8">
        <f t="shared" si="30"/>
        <v>-9.9735833419662301E-2</v>
      </c>
      <c r="O298" s="7">
        <v>4781</v>
      </c>
      <c r="Q298" s="3"/>
      <c r="R298" s="3"/>
      <c r="S298" s="6"/>
      <c r="T298" s="7"/>
      <c r="U298" s="7"/>
      <c r="V298" s="7"/>
      <c r="W298" s="7"/>
      <c r="X298" s="7"/>
      <c r="Y298" s="7"/>
      <c r="Z298" s="7"/>
      <c r="AA298" s="7"/>
      <c r="AB298" s="7"/>
      <c r="AC298" s="7"/>
      <c r="AD298" s="7"/>
      <c r="AE298" s="8"/>
      <c r="AF298" s="8"/>
      <c r="AG298" s="7"/>
    </row>
    <row r="299" spans="1:33" ht="19.7" customHeight="1" x14ac:dyDescent="0.25">
      <c r="A299" s="6">
        <v>41930</v>
      </c>
      <c r="B299" s="7">
        <f t="shared" si="45"/>
        <v>34613</v>
      </c>
      <c r="C299" s="7">
        <v>34155</v>
      </c>
      <c r="D299" s="7">
        <v>173</v>
      </c>
      <c r="E299" s="7">
        <v>284</v>
      </c>
      <c r="F299" s="7">
        <v>1</v>
      </c>
      <c r="G299" s="7">
        <v>0</v>
      </c>
      <c r="H299" s="7">
        <v>0</v>
      </c>
      <c r="I299" s="7">
        <v>0</v>
      </c>
      <c r="J299" s="7">
        <v>0</v>
      </c>
      <c r="K299" s="7">
        <f t="shared" si="27"/>
        <v>-21126</v>
      </c>
      <c r="L299" s="7">
        <f t="shared" si="28"/>
        <v>-4445</v>
      </c>
      <c r="M299" s="8">
        <f t="shared" si="29"/>
        <v>-0.37901648755808326</v>
      </c>
      <c r="N299" s="8">
        <f t="shared" si="30"/>
        <v>-0.11515544041450776</v>
      </c>
      <c r="O299" s="7">
        <v>4299</v>
      </c>
      <c r="Q299" s="3"/>
      <c r="R299" s="3"/>
      <c r="S299" s="6"/>
      <c r="T299" s="7"/>
      <c r="U299" s="7"/>
      <c r="V299" s="7"/>
      <c r="W299" s="7"/>
      <c r="X299" s="7"/>
      <c r="Y299" s="7"/>
      <c r="Z299" s="7"/>
      <c r="AA299" s="7"/>
      <c r="AB299" s="7"/>
      <c r="AC299" s="7"/>
      <c r="AD299" s="7"/>
      <c r="AE299" s="8"/>
      <c r="AF299" s="8"/>
      <c r="AG299" s="7"/>
    </row>
    <row r="300" spans="1:33" ht="19.7" customHeight="1" x14ac:dyDescent="0.25">
      <c r="A300" s="6">
        <v>41937</v>
      </c>
      <c r="B300" s="7">
        <f t="shared" si="45"/>
        <v>33862</v>
      </c>
      <c r="C300" s="7">
        <v>33416</v>
      </c>
      <c r="D300" s="7">
        <v>179</v>
      </c>
      <c r="E300" s="7">
        <v>266</v>
      </c>
      <c r="F300" s="7">
        <v>1</v>
      </c>
      <c r="G300" s="7">
        <v>0</v>
      </c>
      <c r="H300" s="7">
        <v>0</v>
      </c>
      <c r="I300" s="7">
        <v>0</v>
      </c>
      <c r="J300" s="7">
        <v>0</v>
      </c>
      <c r="K300" s="7">
        <f t="shared" si="27"/>
        <v>-21969</v>
      </c>
      <c r="L300" s="7">
        <f>IF(C300=0,"",C300-C248)</f>
        <v>-5064</v>
      </c>
      <c r="M300" s="8">
        <f t="shared" si="29"/>
        <v>-0.39349107126865002</v>
      </c>
      <c r="N300" s="8">
        <f t="shared" si="30"/>
        <v>-0.13160083160083158</v>
      </c>
      <c r="O300" s="7">
        <v>4298</v>
      </c>
      <c r="Q300" s="3"/>
      <c r="R300" s="3"/>
      <c r="S300" s="6"/>
      <c r="T300" s="7"/>
      <c r="U300" s="7"/>
      <c r="V300" s="7"/>
      <c r="W300" s="7"/>
      <c r="X300" s="7"/>
      <c r="Y300" s="7"/>
      <c r="Z300" s="7"/>
      <c r="AA300" s="7"/>
      <c r="AB300" s="7"/>
      <c r="AC300" s="7"/>
      <c r="AD300" s="7"/>
      <c r="AE300" s="8"/>
      <c r="AF300" s="8"/>
      <c r="AG300" s="7"/>
    </row>
    <row r="301" spans="1:33" ht="19.7" customHeight="1" x14ac:dyDescent="0.25">
      <c r="A301" s="6">
        <v>41944</v>
      </c>
      <c r="B301" s="7">
        <f t="shared" si="45"/>
        <v>33910</v>
      </c>
      <c r="C301" s="7">
        <v>33391</v>
      </c>
      <c r="D301" s="7">
        <v>216</v>
      </c>
      <c r="E301" s="7">
        <v>290</v>
      </c>
      <c r="F301" s="7">
        <v>1</v>
      </c>
      <c r="G301" s="7">
        <v>0</v>
      </c>
      <c r="H301" s="7">
        <v>0</v>
      </c>
      <c r="I301" s="7">
        <v>12</v>
      </c>
      <c r="J301" s="7">
        <v>0</v>
      </c>
      <c r="K301" s="7">
        <f t="shared" si="27"/>
        <v>-20924</v>
      </c>
      <c r="L301" s="7">
        <f t="shared" si="28"/>
        <v>-4090</v>
      </c>
      <c r="M301" s="8">
        <f t="shared" si="29"/>
        <v>-0.38158806579859217</v>
      </c>
      <c r="N301" s="8">
        <f t="shared" si="30"/>
        <v>-0.10912195512392941</v>
      </c>
      <c r="O301" s="7">
        <v>4029</v>
      </c>
      <c r="Q301" s="3"/>
      <c r="R301" s="3"/>
      <c r="S301" s="6"/>
      <c r="T301" s="7"/>
      <c r="U301" s="7"/>
      <c r="V301" s="7"/>
      <c r="W301" s="7"/>
      <c r="X301" s="7"/>
      <c r="Y301" s="7"/>
      <c r="Z301" s="7"/>
      <c r="AA301" s="7"/>
      <c r="AB301" s="7"/>
      <c r="AC301" s="7"/>
      <c r="AD301" s="7"/>
      <c r="AE301" s="8"/>
      <c r="AF301" s="8"/>
      <c r="AG301" s="7"/>
    </row>
    <row r="302" spans="1:33" ht="19.7" customHeight="1" x14ac:dyDescent="0.25">
      <c r="A302" s="6">
        <v>41951</v>
      </c>
      <c r="B302" s="7">
        <f t="shared" ref="B302:B343" si="46">SUM(C302:J302)</f>
        <v>32655</v>
      </c>
      <c r="C302" s="7">
        <v>32157</v>
      </c>
      <c r="D302" s="7">
        <v>216</v>
      </c>
      <c r="E302" s="7">
        <v>281</v>
      </c>
      <c r="F302" s="7">
        <v>1</v>
      </c>
      <c r="G302" s="7">
        <v>0</v>
      </c>
      <c r="H302" s="7">
        <v>0</v>
      </c>
      <c r="I302" s="7">
        <v>0</v>
      </c>
      <c r="J302" s="7">
        <v>0</v>
      </c>
      <c r="K302" s="7">
        <f t="shared" si="27"/>
        <v>-22042</v>
      </c>
      <c r="L302" s="7">
        <f t="shared" si="28"/>
        <v>-5131</v>
      </c>
      <c r="M302" s="8">
        <f t="shared" si="29"/>
        <v>-0.40298371025833224</v>
      </c>
      <c r="N302" s="8">
        <f t="shared" si="30"/>
        <v>-0.13760459128942282</v>
      </c>
      <c r="O302" s="7">
        <v>4494</v>
      </c>
      <c r="Q302" s="3"/>
      <c r="R302" s="3"/>
      <c r="S302" s="6"/>
      <c r="T302" s="7"/>
      <c r="U302" s="7"/>
      <c r="V302" s="7"/>
      <c r="W302" s="7"/>
      <c r="X302" s="7"/>
      <c r="Y302" s="7"/>
      <c r="Z302" s="7"/>
      <c r="AA302" s="7"/>
      <c r="AB302" s="7"/>
      <c r="AC302" s="7"/>
      <c r="AD302" s="7"/>
      <c r="AE302" s="8"/>
      <c r="AF302" s="8"/>
      <c r="AG302" s="7"/>
    </row>
    <row r="303" spans="1:33" ht="19.7" customHeight="1" x14ac:dyDescent="0.25">
      <c r="A303" s="6">
        <v>41958</v>
      </c>
      <c r="B303" s="7">
        <f t="shared" si="46"/>
        <v>31619</v>
      </c>
      <c r="C303" s="7">
        <v>31118</v>
      </c>
      <c r="D303" s="7">
        <v>226</v>
      </c>
      <c r="E303" s="7">
        <v>273</v>
      </c>
      <c r="F303" s="7">
        <v>1</v>
      </c>
      <c r="G303" s="7">
        <v>0</v>
      </c>
      <c r="H303" s="7">
        <v>0</v>
      </c>
      <c r="I303" s="7">
        <v>1</v>
      </c>
      <c r="J303" s="7">
        <v>0</v>
      </c>
      <c r="K303" s="7">
        <f t="shared" si="27"/>
        <v>-21929</v>
      </c>
      <c r="L303" s="7">
        <f t="shared" si="28"/>
        <v>-5387</v>
      </c>
      <c r="M303" s="8">
        <f t="shared" si="29"/>
        <v>-0.40952043026817064</v>
      </c>
      <c r="N303" s="8">
        <f t="shared" si="30"/>
        <v>-0.14756882618819345</v>
      </c>
      <c r="O303" s="7">
        <v>3947</v>
      </c>
      <c r="Q303" s="3"/>
      <c r="R303" s="3"/>
      <c r="S303" s="6"/>
      <c r="T303" s="7"/>
      <c r="U303" s="7"/>
      <c r="V303" s="7"/>
      <c r="W303" s="7"/>
      <c r="X303" s="7"/>
      <c r="Y303" s="7"/>
      <c r="Z303" s="7"/>
      <c r="AA303" s="7"/>
      <c r="AB303" s="7"/>
      <c r="AC303" s="7"/>
      <c r="AD303" s="7"/>
      <c r="AE303" s="8"/>
      <c r="AF303" s="8"/>
      <c r="AG303" s="7"/>
    </row>
    <row r="304" spans="1:33" ht="19.7" customHeight="1" x14ac:dyDescent="0.25">
      <c r="A304" s="6">
        <v>41965</v>
      </c>
      <c r="B304" s="7">
        <f t="shared" si="46"/>
        <v>31472</v>
      </c>
      <c r="C304" s="7">
        <v>30966</v>
      </c>
      <c r="D304" s="7">
        <v>231</v>
      </c>
      <c r="E304" s="7">
        <v>274</v>
      </c>
      <c r="F304" s="7">
        <v>1</v>
      </c>
      <c r="G304" s="7">
        <v>0</v>
      </c>
      <c r="H304" s="7">
        <v>0</v>
      </c>
      <c r="I304" s="7">
        <v>0</v>
      </c>
      <c r="J304" s="7">
        <v>0</v>
      </c>
      <c r="K304" s="7">
        <f t="shared" si="27"/>
        <v>-22053</v>
      </c>
      <c r="L304" s="7">
        <f t="shared" si="28"/>
        <v>-5716</v>
      </c>
      <c r="M304" s="8">
        <f t="shared" si="29"/>
        <v>-0.41201307800093412</v>
      </c>
      <c r="N304" s="8">
        <f t="shared" si="30"/>
        <v>-0.15582574559729567</v>
      </c>
      <c r="O304" s="7">
        <v>4427</v>
      </c>
      <c r="Q304" s="3"/>
      <c r="R304" s="3"/>
      <c r="S304" s="6"/>
      <c r="T304" s="7"/>
      <c r="U304" s="7"/>
      <c r="V304" s="7"/>
      <c r="W304" s="7"/>
      <c r="X304" s="7"/>
      <c r="Y304" s="7"/>
      <c r="Z304" s="7"/>
      <c r="AA304" s="7"/>
      <c r="AB304" s="7"/>
      <c r="AC304" s="7"/>
      <c r="AD304" s="7"/>
      <c r="AE304" s="8"/>
      <c r="AF304" s="8"/>
      <c r="AG304" s="7"/>
    </row>
    <row r="305" spans="1:33" ht="19.7" customHeight="1" x14ac:dyDescent="0.25">
      <c r="A305" s="6">
        <v>41972</v>
      </c>
      <c r="B305" s="7">
        <f t="shared" si="46"/>
        <v>29122</v>
      </c>
      <c r="C305" s="7">
        <v>28617</v>
      </c>
      <c r="D305" s="7">
        <v>235</v>
      </c>
      <c r="E305" s="7">
        <v>269</v>
      </c>
      <c r="F305" s="7">
        <v>1</v>
      </c>
      <c r="G305" s="7">
        <v>0</v>
      </c>
      <c r="H305" s="7">
        <v>0</v>
      </c>
      <c r="I305" s="7">
        <v>0</v>
      </c>
      <c r="J305" s="7">
        <v>0</v>
      </c>
      <c r="K305" s="7">
        <f t="shared" si="27"/>
        <v>-20216</v>
      </c>
      <c r="L305" s="7">
        <f t="shared" si="28"/>
        <v>-5480</v>
      </c>
      <c r="M305" s="8">
        <f t="shared" si="29"/>
        <v>-0.40974502411934011</v>
      </c>
      <c r="N305" s="8">
        <f t="shared" si="30"/>
        <v>-0.16071795172595826</v>
      </c>
      <c r="O305" s="7">
        <v>3007</v>
      </c>
      <c r="Q305" s="3"/>
      <c r="R305" s="3"/>
      <c r="S305" s="6"/>
      <c r="T305" s="7"/>
      <c r="U305" s="7"/>
      <c r="V305" s="7"/>
      <c r="W305" s="7"/>
      <c r="X305" s="7"/>
      <c r="Y305" s="7"/>
      <c r="Z305" s="7"/>
      <c r="AA305" s="7"/>
      <c r="AB305" s="7"/>
      <c r="AC305" s="7"/>
      <c r="AD305" s="7"/>
      <c r="AE305" s="8"/>
      <c r="AF305" s="8"/>
      <c r="AG305" s="7"/>
    </row>
    <row r="306" spans="1:33" ht="19.7" customHeight="1" x14ac:dyDescent="0.25">
      <c r="A306" s="6">
        <v>41979</v>
      </c>
      <c r="B306" s="7">
        <f t="shared" si="46"/>
        <v>31222</v>
      </c>
      <c r="C306" s="7">
        <v>30647</v>
      </c>
      <c r="D306" s="7">
        <v>280</v>
      </c>
      <c r="E306" s="7">
        <v>291</v>
      </c>
      <c r="F306" s="7">
        <v>1</v>
      </c>
      <c r="G306" s="7">
        <v>0</v>
      </c>
      <c r="H306" s="7">
        <v>0</v>
      </c>
      <c r="I306" s="7">
        <v>3</v>
      </c>
      <c r="J306" s="7">
        <v>0</v>
      </c>
      <c r="K306" s="7">
        <f t="shared" si="27"/>
        <v>-20346</v>
      </c>
      <c r="L306" s="7">
        <f t="shared" si="28"/>
        <v>-5481</v>
      </c>
      <c r="M306" s="8">
        <f t="shared" si="29"/>
        <v>-0.39454700589512881</v>
      </c>
      <c r="N306" s="8">
        <f t="shared" si="30"/>
        <v>-0.15171058458813114</v>
      </c>
      <c r="O306" s="7">
        <v>4486</v>
      </c>
      <c r="Q306" s="3"/>
      <c r="R306" s="3"/>
      <c r="S306" s="6"/>
      <c r="T306" s="7"/>
      <c r="U306" s="7"/>
      <c r="V306" s="7"/>
      <c r="W306" s="7"/>
      <c r="X306" s="7"/>
      <c r="Y306" s="7"/>
      <c r="Z306" s="7"/>
      <c r="AA306" s="7"/>
      <c r="AB306" s="7"/>
      <c r="AC306" s="7"/>
      <c r="AD306" s="7"/>
      <c r="AE306" s="8"/>
      <c r="AF306" s="8"/>
      <c r="AG306" s="7"/>
    </row>
    <row r="307" spans="1:33" ht="19.7" customHeight="1" x14ac:dyDescent="0.25">
      <c r="A307" s="6">
        <v>41986</v>
      </c>
      <c r="B307" s="7">
        <f t="shared" si="46"/>
        <v>30095</v>
      </c>
      <c r="C307" s="7">
        <v>29564</v>
      </c>
      <c r="D307" s="7">
        <v>258</v>
      </c>
      <c r="E307" s="7">
        <v>272</v>
      </c>
      <c r="F307" s="7">
        <v>1</v>
      </c>
      <c r="G307" s="7">
        <v>0</v>
      </c>
      <c r="H307" s="7">
        <v>0</v>
      </c>
      <c r="I307" s="7">
        <v>0</v>
      </c>
      <c r="J307" s="7">
        <v>0</v>
      </c>
      <c r="K307" s="7">
        <f t="shared" si="27"/>
        <v>-20568</v>
      </c>
      <c r="L307" s="7">
        <f t="shared" si="28"/>
        <v>-6030</v>
      </c>
      <c r="M307" s="8">
        <f t="shared" si="29"/>
        <v>-0.40597674831731245</v>
      </c>
      <c r="N307" s="8">
        <f t="shared" si="30"/>
        <v>-0.16941057481598021</v>
      </c>
      <c r="O307" s="7">
        <v>3926</v>
      </c>
      <c r="Q307" s="3"/>
      <c r="R307" s="3"/>
      <c r="S307" s="6"/>
      <c r="T307" s="7"/>
      <c r="U307" s="7"/>
      <c r="V307" s="7"/>
      <c r="W307" s="7"/>
      <c r="X307" s="7"/>
      <c r="Y307" s="7"/>
      <c r="Z307" s="7"/>
      <c r="AA307" s="7"/>
      <c r="AB307" s="7"/>
      <c r="AC307" s="7"/>
      <c r="AD307" s="7"/>
      <c r="AE307" s="8"/>
      <c r="AF307" s="8"/>
      <c r="AG307" s="7"/>
    </row>
    <row r="308" spans="1:33" ht="19.7" customHeight="1" x14ac:dyDescent="0.25">
      <c r="A308" s="6">
        <v>41993</v>
      </c>
      <c r="B308" s="7">
        <f t="shared" si="46"/>
        <v>30270</v>
      </c>
      <c r="C308" s="7">
        <v>29677</v>
      </c>
      <c r="D308" s="7">
        <v>301</v>
      </c>
      <c r="E308" s="7">
        <v>291</v>
      </c>
      <c r="F308" s="7">
        <v>1</v>
      </c>
      <c r="G308" s="7">
        <v>0</v>
      </c>
      <c r="H308" s="7">
        <v>0</v>
      </c>
      <c r="I308" s="7">
        <v>0</v>
      </c>
      <c r="J308" s="7">
        <v>0</v>
      </c>
      <c r="K308" s="7">
        <f t="shared" si="27"/>
        <v>-19580</v>
      </c>
      <c r="L308" s="7">
        <f t="shared" si="28"/>
        <v>-5476</v>
      </c>
      <c r="M308" s="8">
        <f t="shared" si="29"/>
        <v>-0.39277833500501502</v>
      </c>
      <c r="N308" s="8">
        <f t="shared" si="30"/>
        <v>-0.15577617842004954</v>
      </c>
      <c r="O308" s="7">
        <v>3942</v>
      </c>
      <c r="Q308" s="3"/>
      <c r="R308" s="3"/>
      <c r="S308" s="6"/>
      <c r="T308" s="7"/>
      <c r="U308" s="7"/>
      <c r="V308" s="7"/>
      <c r="W308" s="7"/>
      <c r="X308" s="7"/>
      <c r="Y308" s="7"/>
      <c r="Z308" s="7"/>
      <c r="AA308" s="7"/>
      <c r="AB308" s="7"/>
      <c r="AC308" s="7"/>
      <c r="AD308" s="7"/>
      <c r="AE308" s="8"/>
      <c r="AF308" s="8"/>
      <c r="AG308" s="7"/>
    </row>
    <row r="309" spans="1:33" ht="19.7" customHeight="1" x14ac:dyDescent="0.25">
      <c r="A309" s="6">
        <v>42000</v>
      </c>
      <c r="B309" s="7">
        <f t="shared" si="46"/>
        <v>28999</v>
      </c>
      <c r="C309" s="7">
        <v>28468</v>
      </c>
      <c r="D309" s="7">
        <v>278</v>
      </c>
      <c r="E309" s="7">
        <v>252</v>
      </c>
      <c r="F309" s="7">
        <v>1</v>
      </c>
      <c r="G309" s="7">
        <v>0</v>
      </c>
      <c r="H309" s="7">
        <v>0</v>
      </c>
      <c r="I309" s="7">
        <v>0</v>
      </c>
      <c r="J309" s="7">
        <v>0</v>
      </c>
      <c r="K309" s="7">
        <f t="shared" si="27"/>
        <v>-20128</v>
      </c>
      <c r="L309" s="7">
        <f t="shared" si="28"/>
        <v>-6130</v>
      </c>
      <c r="M309" s="8">
        <f t="shared" si="29"/>
        <v>-0.40971359944633301</v>
      </c>
      <c r="N309" s="8">
        <f t="shared" si="30"/>
        <v>-0.17717787155326903</v>
      </c>
      <c r="O309" s="7">
        <v>2672</v>
      </c>
      <c r="Q309" s="3"/>
      <c r="R309" s="3"/>
      <c r="S309" s="6"/>
      <c r="T309" s="7"/>
      <c r="U309" s="7"/>
      <c r="V309" s="7"/>
      <c r="W309" s="7"/>
      <c r="X309" s="7"/>
      <c r="Y309" s="7"/>
      <c r="Z309" s="7"/>
      <c r="AA309" s="7"/>
      <c r="AB309" s="7"/>
      <c r="AC309" s="7"/>
      <c r="AD309" s="7"/>
      <c r="AE309" s="8"/>
      <c r="AF309" s="8"/>
      <c r="AG309" s="7"/>
    </row>
    <row r="310" spans="1:33" ht="19.7" customHeight="1" x14ac:dyDescent="0.25">
      <c r="A310" s="6">
        <v>42007</v>
      </c>
      <c r="B310" s="7">
        <f t="shared" si="46"/>
        <v>30454</v>
      </c>
      <c r="C310" s="7">
        <v>29869</v>
      </c>
      <c r="D310" s="7">
        <v>329</v>
      </c>
      <c r="E310" s="7">
        <v>255</v>
      </c>
      <c r="F310" s="7">
        <v>1</v>
      </c>
      <c r="G310" s="7">
        <v>0</v>
      </c>
      <c r="H310" s="7">
        <v>0</v>
      </c>
      <c r="I310" s="7">
        <v>0</v>
      </c>
      <c r="J310" s="7">
        <v>0</v>
      </c>
      <c r="K310" s="7">
        <f t="shared" si="27"/>
        <v>-19031</v>
      </c>
      <c r="L310" s="7">
        <f t="shared" si="28"/>
        <v>-5190</v>
      </c>
      <c r="M310" s="8">
        <f t="shared" si="29"/>
        <v>-0.38458118621804582</v>
      </c>
      <c r="N310" s="8">
        <f t="shared" si="30"/>
        <v>-0.14803616760318317</v>
      </c>
      <c r="O310" s="7">
        <v>3372</v>
      </c>
      <c r="Q310" s="3"/>
      <c r="R310" s="3"/>
      <c r="S310" s="6"/>
      <c r="T310" s="7"/>
      <c r="U310" s="7"/>
      <c r="V310" s="7"/>
      <c r="W310" s="7"/>
      <c r="X310" s="7"/>
      <c r="Y310" s="7"/>
      <c r="Z310" s="7"/>
      <c r="AA310" s="7"/>
      <c r="AB310" s="7"/>
      <c r="AC310" s="7"/>
      <c r="AD310" s="7"/>
      <c r="AE310" s="8"/>
      <c r="AF310" s="8"/>
      <c r="AG310" s="7"/>
    </row>
    <row r="311" spans="1:33" ht="19.7" customHeight="1" x14ac:dyDescent="0.25">
      <c r="A311" s="6">
        <v>42014</v>
      </c>
      <c r="B311" s="7">
        <f t="shared" si="46"/>
        <v>30692</v>
      </c>
      <c r="C311" s="7">
        <v>30101</v>
      </c>
      <c r="D311" s="7">
        <v>332</v>
      </c>
      <c r="E311" s="7">
        <v>258</v>
      </c>
      <c r="F311" s="7">
        <v>1</v>
      </c>
      <c r="G311" s="7">
        <v>0</v>
      </c>
      <c r="H311" s="7">
        <v>0</v>
      </c>
      <c r="I311" s="7">
        <v>0</v>
      </c>
      <c r="J311" s="7">
        <v>0</v>
      </c>
      <c r="K311" s="7">
        <f t="shared" si="27"/>
        <v>-17906</v>
      </c>
      <c r="L311" s="7">
        <f t="shared" si="28"/>
        <v>-5411</v>
      </c>
      <c r="M311" s="8">
        <f t="shared" si="29"/>
        <v>-0.36845137659986005</v>
      </c>
      <c r="N311" s="8">
        <f t="shared" si="30"/>
        <v>-0.15237102951115111</v>
      </c>
      <c r="O311" s="7">
        <v>5537</v>
      </c>
      <c r="Q311" s="3"/>
      <c r="R311" s="3"/>
      <c r="S311" s="6"/>
      <c r="T311" s="7"/>
      <c r="U311" s="7"/>
      <c r="V311" s="7"/>
      <c r="W311" s="7"/>
      <c r="X311" s="7"/>
      <c r="Y311" s="7"/>
      <c r="Z311" s="7"/>
      <c r="AA311" s="7"/>
      <c r="AB311" s="7"/>
      <c r="AC311" s="7"/>
      <c r="AD311" s="7"/>
      <c r="AE311" s="8"/>
      <c r="AF311" s="8"/>
      <c r="AG311" s="7"/>
    </row>
    <row r="312" spans="1:33" ht="19.7" customHeight="1" x14ac:dyDescent="0.25">
      <c r="A312" s="6">
        <v>42021</v>
      </c>
      <c r="B312" s="7">
        <f t="shared" si="46"/>
        <v>30889</v>
      </c>
      <c r="C312" s="7">
        <v>30285</v>
      </c>
      <c r="D312" s="7">
        <v>356</v>
      </c>
      <c r="E312" s="7">
        <v>247</v>
      </c>
      <c r="F312" s="7">
        <v>1</v>
      </c>
      <c r="G312" s="7">
        <v>0</v>
      </c>
      <c r="H312" s="7">
        <v>0</v>
      </c>
      <c r="I312" s="7">
        <v>0</v>
      </c>
      <c r="J312" s="7">
        <v>0</v>
      </c>
      <c r="K312" s="7">
        <f t="shared" si="27"/>
        <v>-17335</v>
      </c>
      <c r="L312" s="7">
        <f t="shared" si="28"/>
        <v>-5790</v>
      </c>
      <c r="M312" s="8">
        <f t="shared" si="29"/>
        <v>-0.3594683145321832</v>
      </c>
      <c r="N312" s="8">
        <f t="shared" si="30"/>
        <v>-0.16049896049896051</v>
      </c>
      <c r="O312" s="7">
        <v>4579</v>
      </c>
      <c r="Q312" s="3"/>
      <c r="R312" s="3"/>
      <c r="S312" s="6"/>
      <c r="T312" s="7"/>
      <c r="U312" s="7"/>
      <c r="V312" s="7"/>
      <c r="W312" s="7"/>
      <c r="X312" s="7"/>
      <c r="Y312" s="7"/>
      <c r="Z312" s="7"/>
      <c r="AA312" s="7"/>
      <c r="AB312" s="7"/>
      <c r="AC312" s="7"/>
      <c r="AD312" s="7"/>
      <c r="AE312" s="8"/>
      <c r="AF312" s="8"/>
      <c r="AG312" s="7"/>
    </row>
    <row r="313" spans="1:33" ht="19.7" customHeight="1" x14ac:dyDescent="0.25">
      <c r="A313" s="6">
        <v>42028</v>
      </c>
      <c r="B313" s="7">
        <f t="shared" si="46"/>
        <v>30079</v>
      </c>
      <c r="C313" s="7">
        <v>29545</v>
      </c>
      <c r="D313" s="7">
        <v>297</v>
      </c>
      <c r="E313" s="7">
        <v>236</v>
      </c>
      <c r="F313" s="7">
        <v>1</v>
      </c>
      <c r="G313" s="7">
        <v>0</v>
      </c>
      <c r="H313" s="7">
        <v>0</v>
      </c>
      <c r="I313" s="7">
        <v>0</v>
      </c>
      <c r="J313" s="7">
        <v>0</v>
      </c>
      <c r="K313" s="7">
        <f t="shared" si="27"/>
        <v>-17049</v>
      </c>
      <c r="L313" s="7">
        <f t="shared" si="28"/>
        <v>-6279</v>
      </c>
      <c r="M313" s="8">
        <f t="shared" si="29"/>
        <v>-0.36175946358852484</v>
      </c>
      <c r="N313" s="8">
        <f t="shared" si="30"/>
        <v>-0.17527355962483249</v>
      </c>
      <c r="O313" s="7">
        <v>3949</v>
      </c>
      <c r="Q313" s="3"/>
      <c r="R313" s="3"/>
      <c r="S313" s="6"/>
      <c r="T313" s="7"/>
      <c r="U313" s="7"/>
      <c r="V313" s="7"/>
      <c r="W313" s="7"/>
      <c r="X313" s="7"/>
      <c r="Y313" s="7"/>
      <c r="Z313" s="7"/>
      <c r="AA313" s="7"/>
      <c r="AB313" s="7"/>
      <c r="AC313" s="7"/>
      <c r="AD313" s="7"/>
      <c r="AE313" s="8"/>
      <c r="AF313" s="8"/>
      <c r="AG313" s="7"/>
    </row>
    <row r="314" spans="1:33" ht="19.7" customHeight="1" x14ac:dyDescent="0.25">
      <c r="A314" s="6">
        <v>42035</v>
      </c>
      <c r="B314" s="7">
        <f t="shared" si="46"/>
        <v>30909</v>
      </c>
      <c r="C314" s="7">
        <v>30330</v>
      </c>
      <c r="D314" s="7">
        <v>330</v>
      </c>
      <c r="E314" s="7">
        <v>248</v>
      </c>
      <c r="F314" s="7">
        <v>1</v>
      </c>
      <c r="G314" s="7">
        <v>0</v>
      </c>
      <c r="H314" s="7">
        <v>0</v>
      </c>
      <c r="I314" s="7">
        <v>0</v>
      </c>
      <c r="J314" s="7">
        <v>0</v>
      </c>
      <c r="K314" s="7">
        <f t="shared" si="27"/>
        <v>-16264</v>
      </c>
      <c r="L314" s="7">
        <f t="shared" si="28"/>
        <v>-5926</v>
      </c>
      <c r="M314" s="8">
        <f t="shared" si="29"/>
        <v>-0.34477349331185214</v>
      </c>
      <c r="N314" s="8">
        <f t="shared" si="30"/>
        <v>-0.1634488084730803</v>
      </c>
      <c r="O314" s="7">
        <v>4067</v>
      </c>
      <c r="Q314" s="3"/>
      <c r="R314" s="3"/>
      <c r="S314" s="6"/>
      <c r="T314" s="7"/>
      <c r="U314" s="7"/>
      <c r="V314" s="7"/>
      <c r="W314" s="7"/>
      <c r="X314" s="7"/>
      <c r="Y314" s="7"/>
      <c r="Z314" s="7"/>
      <c r="AA314" s="7"/>
      <c r="AB314" s="7"/>
      <c r="AC314" s="7"/>
      <c r="AD314" s="7"/>
      <c r="AE314" s="8"/>
      <c r="AF314" s="8"/>
      <c r="AG314" s="7"/>
    </row>
    <row r="315" spans="1:33" ht="19.7" customHeight="1" x14ac:dyDescent="0.25">
      <c r="A315" s="6">
        <v>42042</v>
      </c>
      <c r="B315" s="7">
        <f t="shared" si="46"/>
        <v>30081</v>
      </c>
      <c r="C315" s="7">
        <v>29560</v>
      </c>
      <c r="D315" s="7">
        <v>310</v>
      </c>
      <c r="E315" s="7">
        <v>210</v>
      </c>
      <c r="F315" s="7">
        <v>1</v>
      </c>
      <c r="G315" s="7">
        <v>0</v>
      </c>
      <c r="H315" s="7">
        <v>0</v>
      </c>
      <c r="I315" s="7">
        <v>0</v>
      </c>
      <c r="J315" s="7">
        <v>0</v>
      </c>
      <c r="K315" s="7">
        <f t="shared" si="27"/>
        <v>-16282</v>
      </c>
      <c r="L315" s="7">
        <f t="shared" si="28"/>
        <v>-6486</v>
      </c>
      <c r="M315" s="8">
        <f t="shared" si="29"/>
        <v>-0.35118521234605182</v>
      </c>
      <c r="N315" s="8">
        <f t="shared" si="30"/>
        <v>-0.1799367474893192</v>
      </c>
      <c r="O315" s="7">
        <v>3926</v>
      </c>
      <c r="Q315" s="3"/>
      <c r="R315" s="3"/>
      <c r="S315" s="6"/>
      <c r="T315" s="7"/>
      <c r="U315" s="7"/>
      <c r="V315" s="7"/>
      <c r="W315" s="7"/>
      <c r="X315" s="7"/>
      <c r="Y315" s="7"/>
      <c r="Z315" s="7"/>
      <c r="AA315" s="7"/>
      <c r="AB315" s="7"/>
      <c r="AC315" s="7"/>
      <c r="AD315" s="7"/>
      <c r="AE315" s="8"/>
      <c r="AF315" s="8"/>
      <c r="AG315" s="7"/>
    </row>
    <row r="316" spans="1:33" ht="19.7" customHeight="1" x14ac:dyDescent="0.25">
      <c r="A316" s="6">
        <v>42049</v>
      </c>
      <c r="B316" s="7">
        <f t="shared" si="46"/>
        <v>29790</v>
      </c>
      <c r="C316" s="7">
        <v>29271</v>
      </c>
      <c r="D316" s="7">
        <v>303</v>
      </c>
      <c r="E316" s="7">
        <v>215</v>
      </c>
      <c r="F316" s="7">
        <v>1</v>
      </c>
      <c r="G316" s="7">
        <v>0</v>
      </c>
      <c r="H316" s="7">
        <v>0</v>
      </c>
      <c r="I316" s="7">
        <v>0</v>
      </c>
      <c r="J316" s="7">
        <v>0</v>
      </c>
      <c r="K316" s="7">
        <f t="shared" si="27"/>
        <v>-16255</v>
      </c>
      <c r="L316" s="7">
        <f t="shared" si="28"/>
        <v>-7022</v>
      </c>
      <c r="M316" s="8">
        <f t="shared" si="29"/>
        <v>-0.35302421544141604</v>
      </c>
      <c r="N316" s="8">
        <f t="shared" si="30"/>
        <v>-0.19348083652494974</v>
      </c>
      <c r="O316" s="7">
        <v>3652</v>
      </c>
      <c r="Q316" s="3"/>
      <c r="R316" s="3"/>
      <c r="S316" s="6"/>
      <c r="T316" s="7"/>
      <c r="U316" s="7"/>
      <c r="V316" s="7"/>
      <c r="W316" s="7"/>
      <c r="X316" s="7"/>
      <c r="Y316" s="7"/>
      <c r="Z316" s="7"/>
      <c r="AA316" s="7"/>
      <c r="AB316" s="7"/>
      <c r="AC316" s="7"/>
      <c r="AD316" s="7"/>
      <c r="AE316" s="8"/>
      <c r="AF316" s="8"/>
      <c r="AG316" s="7"/>
    </row>
    <row r="317" spans="1:33" ht="19.7" customHeight="1" x14ac:dyDescent="0.25">
      <c r="A317" s="6">
        <v>42056</v>
      </c>
      <c r="B317" s="7">
        <f t="shared" si="46"/>
        <v>29214</v>
      </c>
      <c r="C317" s="7">
        <v>28727</v>
      </c>
      <c r="D317" s="7">
        <v>295</v>
      </c>
      <c r="E317" s="7">
        <v>191</v>
      </c>
      <c r="F317" s="7">
        <v>1</v>
      </c>
      <c r="G317" s="7">
        <v>0</v>
      </c>
      <c r="H317" s="7">
        <v>0</v>
      </c>
      <c r="I317" s="7">
        <v>0</v>
      </c>
      <c r="J317" s="7">
        <v>0</v>
      </c>
      <c r="K317" s="7">
        <f t="shared" si="27"/>
        <v>-15846</v>
      </c>
      <c r="L317" s="7">
        <f t="shared" si="28"/>
        <v>-7115</v>
      </c>
      <c r="M317" s="8">
        <f t="shared" si="29"/>
        <v>-0.35166444740346203</v>
      </c>
      <c r="N317" s="8">
        <f t="shared" si="30"/>
        <v>-0.19851012778304777</v>
      </c>
      <c r="O317" s="7">
        <v>3521</v>
      </c>
      <c r="Q317" s="3"/>
      <c r="R317" s="3"/>
      <c r="S317" s="6"/>
      <c r="T317" s="7"/>
      <c r="U317" s="7"/>
      <c r="V317" s="7"/>
      <c r="W317" s="7"/>
      <c r="X317" s="7"/>
      <c r="Y317" s="7"/>
      <c r="Z317" s="7"/>
      <c r="AA317" s="7"/>
      <c r="AB317" s="7"/>
      <c r="AC317" s="7"/>
      <c r="AD317" s="7"/>
      <c r="AE317" s="8"/>
      <c r="AF317" s="8"/>
      <c r="AG317" s="7"/>
    </row>
    <row r="318" spans="1:33" ht="19.7" customHeight="1" x14ac:dyDescent="0.25">
      <c r="A318" s="6">
        <v>42063</v>
      </c>
      <c r="B318" s="7">
        <f t="shared" si="46"/>
        <v>29298</v>
      </c>
      <c r="C318" s="7">
        <v>28760</v>
      </c>
      <c r="D318" s="7">
        <v>321</v>
      </c>
      <c r="E318" s="7">
        <v>207</v>
      </c>
      <c r="F318" s="7">
        <v>10</v>
      </c>
      <c r="G318" s="7">
        <v>0</v>
      </c>
      <c r="H318" s="7">
        <v>0</v>
      </c>
      <c r="I318" s="7">
        <v>0</v>
      </c>
      <c r="J318" s="7">
        <v>0</v>
      </c>
      <c r="K318" s="7">
        <f t="shared" si="27"/>
        <v>-14619</v>
      </c>
      <c r="L318" s="7">
        <f t="shared" si="28"/>
        <v>-9098</v>
      </c>
      <c r="M318" s="8">
        <f t="shared" si="29"/>
        <v>-0.33287792882027456</v>
      </c>
      <c r="N318" s="8">
        <f t="shared" si="30"/>
        <v>-0.24031908711500871</v>
      </c>
      <c r="O318" s="7">
        <v>3724</v>
      </c>
      <c r="Q318" s="3"/>
      <c r="R318" s="3"/>
      <c r="S318" s="6"/>
      <c r="T318" s="7"/>
      <c r="U318" s="7"/>
      <c r="V318" s="7"/>
      <c r="W318" s="7"/>
      <c r="X318" s="7"/>
      <c r="Y318" s="7"/>
      <c r="Z318" s="7"/>
      <c r="AA318" s="7"/>
      <c r="AB318" s="7"/>
      <c r="AC318" s="7"/>
      <c r="AD318" s="7"/>
      <c r="AE318" s="8"/>
      <c r="AF318" s="8"/>
      <c r="AG318" s="7"/>
    </row>
    <row r="319" spans="1:33" ht="19.7" customHeight="1" x14ac:dyDescent="0.25">
      <c r="A319" s="6">
        <v>42070</v>
      </c>
      <c r="B319" s="7">
        <f t="shared" si="46"/>
        <v>28827</v>
      </c>
      <c r="C319" s="7">
        <v>28350</v>
      </c>
      <c r="D319" s="7">
        <v>270</v>
      </c>
      <c r="E319" s="7">
        <v>206</v>
      </c>
      <c r="F319" s="7">
        <v>1</v>
      </c>
      <c r="G319" s="7">
        <v>0</v>
      </c>
      <c r="H319" s="7">
        <v>0</v>
      </c>
      <c r="I319" s="7">
        <v>0</v>
      </c>
      <c r="J319" s="7">
        <v>0</v>
      </c>
      <c r="K319" s="7">
        <f t="shared" si="27"/>
        <v>-12772</v>
      </c>
      <c r="L319" s="7">
        <f t="shared" si="28"/>
        <v>-12480</v>
      </c>
      <c r="M319" s="8">
        <f t="shared" si="29"/>
        <v>-0.30702661121661579</v>
      </c>
      <c r="N319" s="8">
        <f t="shared" si="30"/>
        <v>-0.30565760470242465</v>
      </c>
      <c r="O319" s="7">
        <v>3994</v>
      </c>
      <c r="Q319" s="3"/>
      <c r="R319" s="3"/>
      <c r="S319" s="6"/>
      <c r="T319" s="7"/>
      <c r="U319" s="7"/>
      <c r="V319" s="7"/>
      <c r="W319" s="7"/>
      <c r="X319" s="7"/>
      <c r="Y319" s="7"/>
      <c r="Z319" s="7"/>
      <c r="AA319" s="7"/>
      <c r="AB319" s="7"/>
      <c r="AC319" s="7"/>
      <c r="AD319" s="7"/>
      <c r="AE319" s="8"/>
      <c r="AF319" s="8"/>
      <c r="AG319" s="7"/>
    </row>
    <row r="320" spans="1:33" ht="19.7" customHeight="1" x14ac:dyDescent="0.25">
      <c r="A320" s="6">
        <v>42077</v>
      </c>
      <c r="B320" s="7">
        <f t="shared" si="46"/>
        <v>29227</v>
      </c>
      <c r="C320" s="7">
        <v>28719</v>
      </c>
      <c r="D320" s="7">
        <v>288</v>
      </c>
      <c r="E320" s="7">
        <v>220</v>
      </c>
      <c r="F320" s="7">
        <v>0</v>
      </c>
      <c r="G320" s="7">
        <v>0</v>
      </c>
      <c r="H320" s="7">
        <v>0</v>
      </c>
      <c r="I320" s="7">
        <v>0</v>
      </c>
      <c r="J320" s="7">
        <v>0</v>
      </c>
      <c r="K320" s="7">
        <f t="shared" si="27"/>
        <v>-11256</v>
      </c>
      <c r="L320" s="7">
        <f t="shared" si="28"/>
        <v>-11017</v>
      </c>
      <c r="M320" s="8">
        <f t="shared" si="29"/>
        <v>-0.27804263518019912</v>
      </c>
      <c r="N320" s="8">
        <f t="shared" si="30"/>
        <v>-0.27725488222266959</v>
      </c>
      <c r="O320" s="7">
        <v>3605</v>
      </c>
      <c r="Q320" s="3"/>
      <c r="R320" s="3"/>
      <c r="S320" s="6"/>
      <c r="T320" s="7"/>
      <c r="U320" s="7"/>
      <c r="V320" s="7"/>
      <c r="W320" s="7"/>
      <c r="X320" s="7"/>
      <c r="Y320" s="7"/>
      <c r="Z320" s="7"/>
      <c r="AA320" s="7"/>
      <c r="AB320" s="7"/>
      <c r="AC320" s="7"/>
      <c r="AD320" s="7"/>
      <c r="AE320" s="8"/>
      <c r="AF320" s="8"/>
      <c r="AG320" s="7"/>
    </row>
    <row r="321" spans="1:33" ht="19.7" customHeight="1" x14ac:dyDescent="0.25">
      <c r="A321" s="6">
        <v>42084</v>
      </c>
      <c r="B321" s="7">
        <f t="shared" si="46"/>
        <v>29178</v>
      </c>
      <c r="C321" s="7">
        <v>28727</v>
      </c>
      <c r="D321" s="7">
        <v>256</v>
      </c>
      <c r="E321" s="7">
        <v>195</v>
      </c>
      <c r="F321" s="7">
        <v>0</v>
      </c>
      <c r="G321" s="7">
        <v>0</v>
      </c>
      <c r="H321" s="7">
        <v>0</v>
      </c>
      <c r="I321" s="7">
        <v>0</v>
      </c>
      <c r="J321" s="7">
        <v>0</v>
      </c>
      <c r="K321" s="7">
        <f t="shared" si="27"/>
        <v>-9603</v>
      </c>
      <c r="L321" s="7">
        <f t="shared" si="28"/>
        <v>-9380</v>
      </c>
      <c r="M321" s="8">
        <f t="shared" si="29"/>
        <v>-0.24762125783244371</v>
      </c>
      <c r="N321" s="8">
        <f t="shared" si="30"/>
        <v>-0.24614900149578822</v>
      </c>
      <c r="O321" s="7">
        <v>3902</v>
      </c>
      <c r="Q321" s="3"/>
      <c r="R321" s="3"/>
      <c r="S321" s="6"/>
      <c r="T321" s="7"/>
      <c r="U321" s="7"/>
      <c r="V321" s="7"/>
      <c r="W321" s="7"/>
      <c r="X321" s="7"/>
      <c r="Y321" s="7"/>
      <c r="Z321" s="7"/>
      <c r="AA321" s="7"/>
      <c r="AB321" s="7"/>
      <c r="AC321" s="7"/>
      <c r="AD321" s="7"/>
      <c r="AE321" s="8"/>
      <c r="AF321" s="8"/>
      <c r="AG321" s="7"/>
    </row>
    <row r="322" spans="1:33" ht="19.7" customHeight="1" x14ac:dyDescent="0.25">
      <c r="A322" s="6">
        <v>42091</v>
      </c>
      <c r="B322" s="7">
        <f t="shared" si="46"/>
        <v>29312</v>
      </c>
      <c r="C322" s="7">
        <v>28802</v>
      </c>
      <c r="D322" s="7">
        <v>274</v>
      </c>
      <c r="E322" s="7">
        <v>236</v>
      </c>
      <c r="F322" s="7">
        <v>0</v>
      </c>
      <c r="G322" s="7">
        <v>0</v>
      </c>
      <c r="H322" s="7">
        <v>0</v>
      </c>
      <c r="I322" s="7">
        <v>0</v>
      </c>
      <c r="J322" s="7">
        <v>0</v>
      </c>
      <c r="K322" s="7">
        <f t="shared" si="27"/>
        <v>-9308</v>
      </c>
      <c r="L322" s="7">
        <f t="shared" si="28"/>
        <v>-9118</v>
      </c>
      <c r="M322" s="8">
        <f t="shared" si="29"/>
        <v>-0.24101501812532367</v>
      </c>
      <c r="N322" s="8">
        <f t="shared" si="30"/>
        <v>-0.24045358649789028</v>
      </c>
      <c r="O322" s="7">
        <v>4064</v>
      </c>
      <c r="Q322" s="3"/>
      <c r="R322" s="3"/>
      <c r="S322" s="6"/>
      <c r="T322" s="7"/>
      <c r="U322" s="7"/>
      <c r="V322" s="7"/>
      <c r="W322" s="7"/>
      <c r="X322" s="7"/>
      <c r="Y322" s="7"/>
      <c r="Z322" s="7"/>
      <c r="AA322" s="7"/>
      <c r="AB322" s="7"/>
      <c r="AC322" s="7"/>
      <c r="AD322" s="7"/>
      <c r="AE322" s="8"/>
      <c r="AF322" s="8"/>
      <c r="AG322" s="7"/>
    </row>
    <row r="323" spans="1:33" ht="19.7" customHeight="1" x14ac:dyDescent="0.25">
      <c r="A323" s="6">
        <v>42098</v>
      </c>
      <c r="B323" s="7">
        <f t="shared" si="46"/>
        <v>29119</v>
      </c>
      <c r="C323" s="7">
        <v>28685</v>
      </c>
      <c r="D323" s="7">
        <v>211</v>
      </c>
      <c r="E323" s="7">
        <v>223</v>
      </c>
      <c r="F323" s="7">
        <v>0</v>
      </c>
      <c r="G323" s="7">
        <v>0</v>
      </c>
      <c r="H323" s="7">
        <v>0</v>
      </c>
      <c r="I323" s="7">
        <v>0</v>
      </c>
      <c r="J323" s="7">
        <v>0</v>
      </c>
      <c r="K323" s="7">
        <f t="shared" si="27"/>
        <v>-6681</v>
      </c>
      <c r="L323" s="7">
        <f t="shared" si="28"/>
        <v>-6533</v>
      </c>
      <c r="M323" s="8">
        <f t="shared" si="29"/>
        <v>-0.18662011173184356</v>
      </c>
      <c r="N323" s="8">
        <f t="shared" si="30"/>
        <v>-0.18550173206882847</v>
      </c>
      <c r="O323" s="7">
        <v>5107</v>
      </c>
      <c r="Q323" s="3"/>
      <c r="R323" s="3"/>
      <c r="S323" s="6"/>
      <c r="T323" s="7"/>
      <c r="U323" s="7"/>
      <c r="V323" s="7"/>
      <c r="W323" s="7"/>
      <c r="X323" s="7"/>
      <c r="Y323" s="7"/>
      <c r="Z323" s="7"/>
      <c r="AA323" s="7"/>
      <c r="AB323" s="7"/>
      <c r="AC323" s="7"/>
      <c r="AD323" s="7"/>
      <c r="AE323" s="8"/>
      <c r="AF323" s="8"/>
      <c r="AG323" s="7"/>
    </row>
    <row r="324" spans="1:33" ht="19.7" customHeight="1" x14ac:dyDescent="0.25">
      <c r="A324" s="6">
        <v>42105</v>
      </c>
      <c r="B324" s="7">
        <f t="shared" si="46"/>
        <v>29757</v>
      </c>
      <c r="C324" s="7">
        <v>29327</v>
      </c>
      <c r="D324" s="7">
        <v>226</v>
      </c>
      <c r="E324" s="7">
        <v>204</v>
      </c>
      <c r="F324" s="7">
        <v>0</v>
      </c>
      <c r="G324" s="7">
        <v>0</v>
      </c>
      <c r="H324" s="7">
        <v>0</v>
      </c>
      <c r="I324" s="7">
        <v>0</v>
      </c>
      <c r="J324" s="7">
        <v>0</v>
      </c>
      <c r="K324" s="7">
        <f t="shared" si="27"/>
        <v>-7214</v>
      </c>
      <c r="L324" s="7">
        <f t="shared" si="28"/>
        <v>-7056</v>
      </c>
      <c r="M324" s="8">
        <f t="shared" si="29"/>
        <v>-0.19512590949663244</v>
      </c>
      <c r="N324" s="8">
        <f t="shared" si="30"/>
        <v>-0.19393672869197154</v>
      </c>
      <c r="O324" s="7">
        <v>7110</v>
      </c>
      <c r="Q324" s="3"/>
      <c r="R324" s="3"/>
      <c r="S324" s="6"/>
      <c r="T324" s="7"/>
      <c r="U324" s="7"/>
      <c r="V324" s="7"/>
      <c r="W324" s="7"/>
      <c r="X324" s="7"/>
      <c r="Y324" s="7"/>
      <c r="Z324" s="7"/>
      <c r="AA324" s="7"/>
      <c r="AB324" s="7"/>
      <c r="AC324" s="7"/>
      <c r="AD324" s="7"/>
      <c r="AE324" s="8"/>
      <c r="AF324" s="8"/>
      <c r="AG324" s="7"/>
    </row>
    <row r="325" spans="1:33" ht="19.7" customHeight="1" x14ac:dyDescent="0.25">
      <c r="A325" s="6">
        <v>42112</v>
      </c>
      <c r="B325" s="7">
        <f t="shared" si="46"/>
        <v>32205</v>
      </c>
      <c r="C325" s="7">
        <v>31806</v>
      </c>
      <c r="D325" s="7">
        <v>171</v>
      </c>
      <c r="E325" s="7">
        <v>210</v>
      </c>
      <c r="F325" s="7">
        <v>0</v>
      </c>
      <c r="G325" s="7">
        <v>18</v>
      </c>
      <c r="H325" s="7">
        <v>0</v>
      </c>
      <c r="I325" s="7">
        <v>0</v>
      </c>
      <c r="J325" s="7">
        <v>0</v>
      </c>
      <c r="K325" s="7">
        <f t="shared" si="27"/>
        <v>-6358</v>
      </c>
      <c r="L325" s="7">
        <f t="shared" si="28"/>
        <v>-6235</v>
      </c>
      <c r="M325" s="8">
        <f t="shared" si="29"/>
        <v>-0.16487306485491271</v>
      </c>
      <c r="N325" s="8">
        <f t="shared" si="30"/>
        <v>-0.16390210562288055</v>
      </c>
      <c r="O325" s="7">
        <v>5897</v>
      </c>
      <c r="Q325" s="3"/>
      <c r="R325" s="3"/>
      <c r="S325" s="6"/>
      <c r="T325" s="7"/>
      <c r="U325" s="7"/>
      <c r="V325" s="7"/>
      <c r="W325" s="7"/>
      <c r="X325" s="7"/>
      <c r="Y325" s="7"/>
      <c r="Z325" s="7"/>
      <c r="AA325" s="7"/>
      <c r="AB325" s="7"/>
      <c r="AC325" s="7"/>
      <c r="AD325" s="7"/>
      <c r="AE325" s="8"/>
      <c r="AF325" s="8"/>
      <c r="AG325" s="7"/>
    </row>
    <row r="326" spans="1:33" ht="19.7" customHeight="1" x14ac:dyDescent="0.25">
      <c r="A326" s="6">
        <v>42119</v>
      </c>
      <c r="B326" s="7">
        <f t="shared" si="46"/>
        <v>33745</v>
      </c>
      <c r="C326" s="7">
        <v>33367</v>
      </c>
      <c r="D326" s="7">
        <v>165</v>
      </c>
      <c r="E326" s="7">
        <v>213</v>
      </c>
      <c r="F326" s="7">
        <v>0</v>
      </c>
      <c r="G326" s="7">
        <v>0</v>
      </c>
      <c r="H326" s="7">
        <v>0</v>
      </c>
      <c r="I326" s="7">
        <v>0</v>
      </c>
      <c r="J326" s="7">
        <v>0</v>
      </c>
      <c r="K326" s="7">
        <f t="shared" si="27"/>
        <v>-6650</v>
      </c>
      <c r="L326" s="7">
        <f t="shared" si="28"/>
        <v>-6497</v>
      </c>
      <c r="M326" s="8">
        <f t="shared" si="29"/>
        <v>-0.16462433469488802</v>
      </c>
      <c r="N326" s="8">
        <f t="shared" si="30"/>
        <v>-0.16297912903873168</v>
      </c>
      <c r="O326" s="7">
        <v>4848</v>
      </c>
      <c r="Q326" s="3"/>
      <c r="R326" s="3"/>
      <c r="S326" s="6"/>
      <c r="T326" s="7"/>
      <c r="U326" s="7"/>
      <c r="V326" s="7"/>
      <c r="W326" s="7"/>
      <c r="X326" s="7"/>
      <c r="Y326" s="7"/>
      <c r="Z326" s="7"/>
      <c r="AA326" s="7"/>
      <c r="AB326" s="7"/>
      <c r="AC326" s="7"/>
      <c r="AD326" s="7"/>
      <c r="AE326" s="8"/>
      <c r="AF326" s="8"/>
      <c r="AG326" s="7"/>
    </row>
    <row r="327" spans="1:33" ht="19.7" customHeight="1" x14ac:dyDescent="0.25">
      <c r="A327" s="6">
        <v>42126</v>
      </c>
      <c r="B327" s="7">
        <f t="shared" si="46"/>
        <v>34266</v>
      </c>
      <c r="C327" s="7">
        <v>33910</v>
      </c>
      <c r="D327" s="7">
        <v>136</v>
      </c>
      <c r="E327" s="7">
        <v>220</v>
      </c>
      <c r="F327" s="7">
        <v>0</v>
      </c>
      <c r="G327" s="7">
        <v>0</v>
      </c>
      <c r="H327" s="7">
        <v>0</v>
      </c>
      <c r="I327" s="7">
        <v>0</v>
      </c>
      <c r="J327" s="7">
        <v>0</v>
      </c>
      <c r="K327" s="7">
        <f t="shared" si="27"/>
        <v>-6486</v>
      </c>
      <c r="L327" s="7">
        <f t="shared" si="28"/>
        <v>-6371</v>
      </c>
      <c r="M327" s="8">
        <f t="shared" si="29"/>
        <v>-0.1591578327444052</v>
      </c>
      <c r="N327" s="8">
        <f t="shared" si="30"/>
        <v>-0.158163898612249</v>
      </c>
      <c r="O327" s="7">
        <v>4563</v>
      </c>
      <c r="Q327" s="3"/>
      <c r="R327" s="3"/>
      <c r="S327" s="6"/>
      <c r="T327" s="7"/>
      <c r="U327" s="7"/>
      <c r="V327" s="7"/>
      <c r="W327" s="7"/>
      <c r="X327" s="7"/>
      <c r="Y327" s="7"/>
      <c r="Z327" s="7"/>
      <c r="AA327" s="7"/>
      <c r="AB327" s="7"/>
      <c r="AC327" s="7"/>
      <c r="AD327" s="7"/>
      <c r="AE327" s="8"/>
      <c r="AF327" s="8"/>
      <c r="AG327" s="7"/>
    </row>
    <row r="328" spans="1:33" ht="19.7" customHeight="1" x14ac:dyDescent="0.25">
      <c r="A328" s="6">
        <v>42133</v>
      </c>
      <c r="B328" s="7">
        <f t="shared" si="46"/>
        <v>34245</v>
      </c>
      <c r="C328" s="7">
        <v>33892</v>
      </c>
      <c r="D328" s="7">
        <v>144</v>
      </c>
      <c r="E328" s="7">
        <v>205</v>
      </c>
      <c r="F328" s="7">
        <v>0</v>
      </c>
      <c r="G328" s="7">
        <v>4</v>
      </c>
      <c r="H328" s="7">
        <v>0</v>
      </c>
      <c r="I328" s="7">
        <v>0</v>
      </c>
      <c r="J328" s="7">
        <v>0</v>
      </c>
      <c r="K328" s="7">
        <f t="shared" si="27"/>
        <v>-6733</v>
      </c>
      <c r="L328" s="7">
        <f t="shared" si="28"/>
        <v>-6628</v>
      </c>
      <c r="M328" s="8">
        <f t="shared" si="29"/>
        <v>-0.16430767729025331</v>
      </c>
      <c r="N328" s="8">
        <f t="shared" si="30"/>
        <v>-0.16357354392892398</v>
      </c>
      <c r="O328" s="7">
        <v>4499</v>
      </c>
      <c r="Q328" s="3"/>
      <c r="R328" s="3"/>
      <c r="S328" s="6"/>
      <c r="T328" s="7"/>
      <c r="U328" s="7"/>
      <c r="V328" s="7"/>
      <c r="W328" s="7"/>
      <c r="X328" s="7"/>
      <c r="Y328" s="7"/>
      <c r="Z328" s="7"/>
      <c r="AA328" s="7"/>
      <c r="AB328" s="7"/>
      <c r="AC328" s="7"/>
      <c r="AD328" s="7"/>
      <c r="AE328" s="8"/>
      <c r="AF328" s="8"/>
      <c r="AG328" s="7"/>
    </row>
    <row r="329" spans="1:33" ht="19.7" customHeight="1" x14ac:dyDescent="0.25">
      <c r="A329" s="6">
        <v>42140</v>
      </c>
      <c r="B329" s="7">
        <f t="shared" si="46"/>
        <v>34238</v>
      </c>
      <c r="C329" s="7">
        <v>33927</v>
      </c>
      <c r="D329" s="7">
        <v>115</v>
      </c>
      <c r="E329" s="7">
        <v>196</v>
      </c>
      <c r="F329" s="7">
        <v>0</v>
      </c>
      <c r="G329" s="7">
        <v>0</v>
      </c>
      <c r="H329" s="7">
        <v>0</v>
      </c>
      <c r="I329" s="7">
        <v>0</v>
      </c>
      <c r="J329" s="7">
        <v>0</v>
      </c>
      <c r="K329" s="7">
        <f t="shared" si="27"/>
        <v>-6549</v>
      </c>
      <c r="L329" s="7">
        <f t="shared" si="28"/>
        <v>-6416</v>
      </c>
      <c r="M329" s="8">
        <f t="shared" si="29"/>
        <v>-0.16056586657513428</v>
      </c>
      <c r="N329" s="8">
        <f t="shared" si="30"/>
        <v>-0.15903626403589222</v>
      </c>
      <c r="O329" s="7">
        <v>4466</v>
      </c>
      <c r="Q329" s="3"/>
      <c r="R329" s="3"/>
      <c r="S329" s="6"/>
      <c r="T329" s="7"/>
      <c r="U329" s="7"/>
      <c r="V329" s="7"/>
      <c r="W329" s="7"/>
      <c r="X329" s="7"/>
      <c r="Y329" s="7"/>
      <c r="Z329" s="7"/>
      <c r="AA329" s="7"/>
      <c r="AB329" s="7"/>
      <c r="AC329" s="7"/>
      <c r="AD329" s="7"/>
      <c r="AE329" s="8"/>
      <c r="AF329" s="8"/>
      <c r="AG329" s="7"/>
    </row>
    <row r="330" spans="1:33" ht="19.7" customHeight="1" x14ac:dyDescent="0.25">
      <c r="A330" s="6">
        <v>42147</v>
      </c>
      <c r="B330" s="7">
        <f t="shared" si="46"/>
        <v>34404</v>
      </c>
      <c r="C330" s="7">
        <v>34064</v>
      </c>
      <c r="D330" s="7">
        <v>127</v>
      </c>
      <c r="E330" s="7">
        <v>213</v>
      </c>
      <c r="F330" s="7">
        <v>0</v>
      </c>
      <c r="G330" s="7">
        <v>0</v>
      </c>
      <c r="H330" s="7">
        <v>0</v>
      </c>
      <c r="I330" s="7">
        <v>0</v>
      </c>
      <c r="J330" s="7">
        <v>0</v>
      </c>
      <c r="K330" s="7">
        <f t="shared" si="27"/>
        <v>-6638</v>
      </c>
      <c r="L330" s="7">
        <f t="shared" si="28"/>
        <v>-6538</v>
      </c>
      <c r="M330" s="8">
        <f t="shared" si="29"/>
        <v>-0.16173675746795968</v>
      </c>
      <c r="N330" s="8">
        <f t="shared" si="30"/>
        <v>-0.1610265504162357</v>
      </c>
      <c r="O330" s="7">
        <v>4409</v>
      </c>
      <c r="Q330" s="3"/>
      <c r="R330" s="3"/>
      <c r="S330" s="6"/>
      <c r="T330" s="7"/>
      <c r="U330" s="7"/>
      <c r="V330" s="7"/>
      <c r="W330" s="7"/>
      <c r="X330" s="7"/>
      <c r="Y330" s="7"/>
      <c r="Z330" s="7"/>
      <c r="AA330" s="7"/>
      <c r="AB330" s="7"/>
      <c r="AC330" s="7"/>
      <c r="AD330" s="7"/>
      <c r="AE330" s="8"/>
      <c r="AF330" s="8"/>
      <c r="AG330" s="7"/>
    </row>
    <row r="331" spans="1:33" ht="19.7" customHeight="1" x14ac:dyDescent="0.25">
      <c r="A331" s="6">
        <v>42154</v>
      </c>
      <c r="B331" s="7">
        <f t="shared" si="46"/>
        <v>34280</v>
      </c>
      <c r="C331" s="7">
        <v>33933</v>
      </c>
      <c r="D331" s="7">
        <v>120</v>
      </c>
      <c r="E331" s="7">
        <v>227</v>
      </c>
      <c r="F331" s="7">
        <v>0</v>
      </c>
      <c r="G331" s="7">
        <v>0</v>
      </c>
      <c r="H331" s="7">
        <v>0</v>
      </c>
      <c r="I331" s="7">
        <v>0</v>
      </c>
      <c r="J331" s="7">
        <v>0</v>
      </c>
      <c r="K331" s="7">
        <f t="shared" si="27"/>
        <v>-6490</v>
      </c>
      <c r="L331" s="7">
        <f t="shared" si="28"/>
        <v>-6354</v>
      </c>
      <c r="M331" s="8">
        <f t="shared" si="29"/>
        <v>-0.15918567574196718</v>
      </c>
      <c r="N331" s="8">
        <f t="shared" si="30"/>
        <v>-0.15771837069029715</v>
      </c>
      <c r="O331" s="7">
        <v>4649</v>
      </c>
      <c r="Q331" s="3"/>
      <c r="R331" s="3"/>
      <c r="S331" s="6"/>
      <c r="T331" s="7"/>
      <c r="U331" s="7"/>
      <c r="V331" s="7"/>
      <c r="W331" s="7"/>
      <c r="X331" s="7"/>
      <c r="Y331" s="7"/>
      <c r="Z331" s="7"/>
      <c r="AA331" s="7"/>
      <c r="AB331" s="7"/>
      <c r="AC331" s="7"/>
      <c r="AD331" s="7"/>
      <c r="AE331" s="8"/>
      <c r="AF331" s="8"/>
      <c r="AG331" s="7"/>
    </row>
    <row r="332" spans="1:33" ht="19.7" customHeight="1" x14ac:dyDescent="0.25">
      <c r="A332" s="6">
        <v>42161</v>
      </c>
      <c r="B332" s="7">
        <f t="shared" si="46"/>
        <v>35541</v>
      </c>
      <c r="C332" s="7">
        <v>35105</v>
      </c>
      <c r="D332" s="7">
        <v>225</v>
      </c>
      <c r="E332" s="7">
        <v>211</v>
      </c>
      <c r="F332" s="7">
        <v>0</v>
      </c>
      <c r="G332" s="7">
        <v>0</v>
      </c>
      <c r="H332" s="7">
        <v>0</v>
      </c>
      <c r="I332" s="7">
        <v>0</v>
      </c>
      <c r="J332" s="7">
        <v>0</v>
      </c>
      <c r="K332" s="7">
        <f t="shared" ref="K332:K380" si="47">IF(B332=0,"",B332-B280)</f>
        <v>-7270</v>
      </c>
      <c r="L332" s="7">
        <f t="shared" ref="L332:L352" si="48">IF(C332=0,"",C332-C280)</f>
        <v>-7098</v>
      </c>
      <c r="M332" s="8">
        <f t="shared" ref="M332:M380" si="49">IF(K332="","",B332/B280-1)</f>
        <v>-0.16981616874167849</v>
      </c>
      <c r="N332" s="8">
        <f t="shared" ref="N332:N380" si="50">IF(L332="","",C332/C280-1)</f>
        <v>-0.16818709570409685</v>
      </c>
      <c r="O332" s="7">
        <v>5169</v>
      </c>
      <c r="Q332" s="3"/>
      <c r="R332" s="3"/>
      <c r="S332" s="6"/>
      <c r="T332" s="7"/>
      <c r="U332" s="7"/>
      <c r="V332" s="7"/>
      <c r="W332" s="7"/>
      <c r="X332" s="7"/>
      <c r="Y332" s="7"/>
      <c r="Z332" s="7"/>
      <c r="AA332" s="7"/>
      <c r="AB332" s="7"/>
      <c r="AC332" s="7"/>
      <c r="AD332" s="7"/>
      <c r="AE332" s="8"/>
      <c r="AF332" s="8"/>
      <c r="AG332" s="7"/>
    </row>
    <row r="333" spans="1:33" ht="19.7" customHeight="1" x14ac:dyDescent="0.25">
      <c r="A333" s="6">
        <v>42168</v>
      </c>
      <c r="B333" s="7">
        <f t="shared" si="46"/>
        <v>36386</v>
      </c>
      <c r="C333" s="7">
        <v>35908</v>
      </c>
      <c r="D333" s="7">
        <v>269</v>
      </c>
      <c r="E333" s="7">
        <v>209</v>
      </c>
      <c r="F333" s="7">
        <v>0</v>
      </c>
      <c r="G333" s="7">
        <v>0</v>
      </c>
      <c r="H333" s="7">
        <v>0</v>
      </c>
      <c r="I333" s="7">
        <v>0</v>
      </c>
      <c r="J333" s="7">
        <v>0</v>
      </c>
      <c r="K333" s="7">
        <f t="shared" si="47"/>
        <v>-6764</v>
      </c>
      <c r="L333" s="7">
        <f t="shared" si="48"/>
        <v>-6666</v>
      </c>
      <c r="M333" s="8">
        <f t="shared" si="49"/>
        <v>-0.15675550405561989</v>
      </c>
      <c r="N333" s="8">
        <f t="shared" si="50"/>
        <v>-0.15657443510123548</v>
      </c>
      <c r="O333" s="7">
        <v>4361</v>
      </c>
      <c r="Q333" s="3"/>
      <c r="R333" s="3"/>
      <c r="S333" s="6"/>
      <c r="T333" s="7"/>
      <c r="U333" s="7"/>
      <c r="V333" s="7"/>
      <c r="W333" s="7"/>
      <c r="X333" s="7"/>
      <c r="Y333" s="7"/>
      <c r="Z333" s="7"/>
      <c r="AA333" s="7"/>
      <c r="AB333" s="7"/>
      <c r="AC333" s="7"/>
      <c r="AD333" s="7"/>
      <c r="AE333" s="8"/>
      <c r="AF333" s="8"/>
      <c r="AG333" s="7"/>
    </row>
    <row r="334" spans="1:33" ht="19.7" customHeight="1" x14ac:dyDescent="0.25">
      <c r="A334" s="6">
        <v>42175</v>
      </c>
      <c r="B334" s="7">
        <f t="shared" si="46"/>
        <v>36891</v>
      </c>
      <c r="C334" s="7">
        <v>36382</v>
      </c>
      <c r="D334" s="7">
        <v>289</v>
      </c>
      <c r="E334" s="7">
        <v>220</v>
      </c>
      <c r="F334" s="7">
        <v>0</v>
      </c>
      <c r="G334" s="7">
        <v>0</v>
      </c>
      <c r="H334" s="7">
        <v>0</v>
      </c>
      <c r="I334" s="7">
        <v>0</v>
      </c>
      <c r="J334" s="7">
        <v>0</v>
      </c>
      <c r="K334" s="7">
        <f t="shared" si="47"/>
        <v>-6491</v>
      </c>
      <c r="L334" s="7">
        <f t="shared" si="48"/>
        <v>-6402</v>
      </c>
      <c r="M334" s="8">
        <f t="shared" si="49"/>
        <v>-0.14962426812963903</v>
      </c>
      <c r="N334" s="8">
        <f t="shared" si="50"/>
        <v>-0.14963537771129398</v>
      </c>
      <c r="O334" s="7">
        <v>4278</v>
      </c>
      <c r="Q334" s="3"/>
      <c r="R334" s="3"/>
      <c r="S334" s="6"/>
      <c r="T334" s="7"/>
      <c r="U334" s="7"/>
      <c r="V334" s="7"/>
      <c r="W334" s="7"/>
      <c r="X334" s="7"/>
      <c r="Y334" s="7"/>
      <c r="Z334" s="7"/>
      <c r="AA334" s="7"/>
      <c r="AB334" s="7"/>
      <c r="AC334" s="7"/>
      <c r="AD334" s="7"/>
      <c r="AE334" s="8"/>
      <c r="AF334" s="8"/>
      <c r="AG334" s="7"/>
    </row>
    <row r="335" spans="1:33" ht="19.7" customHeight="1" x14ac:dyDescent="0.25">
      <c r="A335" s="6">
        <v>42182</v>
      </c>
      <c r="B335" s="7">
        <f t="shared" si="46"/>
        <v>36801</v>
      </c>
      <c r="C335" s="7">
        <v>36296</v>
      </c>
      <c r="D335" s="7">
        <v>299</v>
      </c>
      <c r="E335" s="7">
        <v>206</v>
      </c>
      <c r="F335" s="7">
        <v>0</v>
      </c>
      <c r="G335" s="7">
        <v>0</v>
      </c>
      <c r="H335" s="7">
        <v>0</v>
      </c>
      <c r="I335" s="7">
        <v>0</v>
      </c>
      <c r="J335" s="7">
        <v>0</v>
      </c>
      <c r="K335" s="7">
        <f t="shared" si="47"/>
        <v>-6914</v>
      </c>
      <c r="L335" s="7">
        <f t="shared" si="48"/>
        <v>-6853</v>
      </c>
      <c r="M335" s="8">
        <f t="shared" si="49"/>
        <v>-0.15816081436577833</v>
      </c>
      <c r="N335" s="8">
        <f t="shared" si="50"/>
        <v>-0.15882175716702585</v>
      </c>
      <c r="O335" s="7">
        <v>4400</v>
      </c>
      <c r="Q335" s="3"/>
      <c r="R335" s="3"/>
      <c r="S335" s="6"/>
      <c r="T335" s="7"/>
      <c r="U335" s="7"/>
      <c r="V335" s="7"/>
      <c r="W335" s="7"/>
      <c r="X335" s="7"/>
      <c r="Y335" s="7"/>
      <c r="Z335" s="7"/>
      <c r="AA335" s="7"/>
      <c r="AB335" s="7"/>
      <c r="AC335" s="7"/>
      <c r="AD335" s="7"/>
      <c r="AE335" s="8"/>
      <c r="AF335" s="8"/>
      <c r="AG335" s="7"/>
    </row>
    <row r="336" spans="1:33" ht="19.7" customHeight="1" x14ac:dyDescent="0.25">
      <c r="A336" s="6">
        <v>42189</v>
      </c>
      <c r="B336" s="7">
        <f t="shared" si="46"/>
        <v>35605</v>
      </c>
      <c r="C336" s="7">
        <v>35124</v>
      </c>
      <c r="D336" s="7">
        <v>298</v>
      </c>
      <c r="E336" s="7">
        <v>183</v>
      </c>
      <c r="F336" s="7">
        <v>0</v>
      </c>
      <c r="G336" s="7">
        <v>0</v>
      </c>
      <c r="H336" s="7">
        <v>0</v>
      </c>
      <c r="I336" s="7">
        <v>0</v>
      </c>
      <c r="J336" s="7">
        <v>0</v>
      </c>
      <c r="K336" s="7">
        <f t="shared" ref="K336:L338" si="51">IF(B336=0,"",B336-B284)</f>
        <v>-5985</v>
      </c>
      <c r="L336" s="7">
        <f t="shared" si="51"/>
        <v>-5946</v>
      </c>
      <c r="M336" s="8">
        <f t="shared" ref="M336:N338" si="52">IF(K336="","",B336/B284-1)</f>
        <v>-0.14390478480403945</v>
      </c>
      <c r="N336" s="8">
        <f t="shared" si="52"/>
        <v>-0.14477720964207452</v>
      </c>
      <c r="O336" s="7">
        <v>4426</v>
      </c>
      <c r="Q336" s="3"/>
      <c r="R336" s="3"/>
      <c r="S336" s="6"/>
      <c r="T336" s="7"/>
      <c r="U336" s="7"/>
      <c r="V336" s="7"/>
      <c r="W336" s="7"/>
      <c r="X336" s="7"/>
      <c r="Y336" s="7"/>
      <c r="Z336" s="7"/>
      <c r="AA336" s="7"/>
      <c r="AB336" s="7"/>
      <c r="AC336" s="7"/>
      <c r="AD336" s="7"/>
      <c r="AE336" s="8"/>
      <c r="AF336" s="8"/>
      <c r="AG336" s="7"/>
    </row>
    <row r="337" spans="1:33" ht="19.7" customHeight="1" x14ac:dyDescent="0.25">
      <c r="A337" s="6">
        <v>42196</v>
      </c>
      <c r="B337" s="7">
        <f t="shared" si="46"/>
        <v>38544</v>
      </c>
      <c r="C337" s="7">
        <v>37983</v>
      </c>
      <c r="D337" s="7">
        <v>355</v>
      </c>
      <c r="E337" s="7">
        <v>206</v>
      </c>
      <c r="F337" s="7">
        <v>0</v>
      </c>
      <c r="G337" s="7">
        <v>0</v>
      </c>
      <c r="H337" s="7">
        <v>0</v>
      </c>
      <c r="I337" s="7">
        <v>0</v>
      </c>
      <c r="J337" s="7">
        <v>0</v>
      </c>
      <c r="K337" s="7">
        <f t="shared" si="51"/>
        <v>-7429</v>
      </c>
      <c r="L337" s="7">
        <f t="shared" si="51"/>
        <v>-7410</v>
      </c>
      <c r="M337" s="8">
        <f t="shared" si="52"/>
        <v>-0.16159484915058842</v>
      </c>
      <c r="N337" s="8">
        <f t="shared" si="52"/>
        <v>-0.16324102835238918</v>
      </c>
      <c r="O337" s="7">
        <v>7317</v>
      </c>
      <c r="Q337" s="3"/>
      <c r="R337" s="3"/>
      <c r="S337" s="6"/>
      <c r="T337" s="7"/>
      <c r="U337" s="7"/>
      <c r="V337" s="7"/>
      <c r="W337" s="7"/>
      <c r="X337" s="7"/>
      <c r="Y337" s="7"/>
      <c r="Z337" s="7"/>
      <c r="AA337" s="7"/>
      <c r="AB337" s="7"/>
      <c r="AC337" s="7"/>
      <c r="AD337" s="7"/>
      <c r="AE337" s="8"/>
      <c r="AF337" s="8"/>
      <c r="AG337" s="7"/>
    </row>
    <row r="338" spans="1:33" ht="19.7" customHeight="1" x14ac:dyDescent="0.25">
      <c r="A338" s="6">
        <v>42203</v>
      </c>
      <c r="B338" s="7">
        <f t="shared" si="46"/>
        <v>39671</v>
      </c>
      <c r="C338" s="7">
        <v>39105</v>
      </c>
      <c r="D338" s="7">
        <v>345</v>
      </c>
      <c r="E338" s="7">
        <v>221</v>
      </c>
      <c r="F338" s="7">
        <v>0</v>
      </c>
      <c r="G338" s="7">
        <v>0</v>
      </c>
      <c r="H338" s="7">
        <v>0</v>
      </c>
      <c r="I338" s="7">
        <v>0</v>
      </c>
      <c r="J338" s="7">
        <v>0</v>
      </c>
      <c r="K338" s="7">
        <f t="shared" si="51"/>
        <v>-6451</v>
      </c>
      <c r="L338" s="7">
        <f t="shared" si="51"/>
        <v>-6390</v>
      </c>
      <c r="M338" s="8">
        <f t="shared" si="52"/>
        <v>-0.13986817570790511</v>
      </c>
      <c r="N338" s="8">
        <f t="shared" si="52"/>
        <v>-0.14045499505440162</v>
      </c>
      <c r="O338" s="7">
        <v>5109</v>
      </c>
      <c r="Q338" s="3"/>
      <c r="R338" s="3"/>
      <c r="S338" s="6"/>
      <c r="T338" s="7"/>
      <c r="U338" s="7"/>
      <c r="V338" s="7"/>
      <c r="W338" s="7"/>
      <c r="X338" s="7"/>
      <c r="Y338" s="7"/>
      <c r="Z338" s="7"/>
      <c r="AA338" s="7"/>
      <c r="AB338" s="7"/>
      <c r="AC338" s="7"/>
      <c r="AD338" s="7"/>
      <c r="AE338" s="8"/>
      <c r="AF338" s="8"/>
      <c r="AG338" s="7"/>
    </row>
    <row r="339" spans="1:33" ht="19.7" customHeight="1" x14ac:dyDescent="0.25">
      <c r="A339" s="6">
        <v>42210</v>
      </c>
      <c r="B339" s="7">
        <f t="shared" si="46"/>
        <v>40570</v>
      </c>
      <c r="C339" s="7">
        <v>39986</v>
      </c>
      <c r="D339" s="7">
        <v>369</v>
      </c>
      <c r="E339" s="7">
        <v>215</v>
      </c>
      <c r="F339" s="7">
        <v>0</v>
      </c>
      <c r="G339" s="7">
        <v>0</v>
      </c>
      <c r="H339" s="7">
        <v>0</v>
      </c>
      <c r="I339" s="7">
        <v>0</v>
      </c>
      <c r="J339" s="7">
        <v>0</v>
      </c>
      <c r="K339" s="7">
        <f>IF(B339=0,"",B339-B287)</f>
        <v>-5792</v>
      </c>
      <c r="L339" s="7">
        <f>IF(C339=0,"",C339-C287)</f>
        <v>-5742</v>
      </c>
      <c r="M339" s="8">
        <f>IF(K339="","",B339/B287-1)</f>
        <v>-0.12492989948664857</v>
      </c>
      <c r="N339" s="8">
        <f>IF(L339="","",C339/C287-1)</f>
        <v>-0.12556857942617217</v>
      </c>
      <c r="O339" s="7">
        <v>4466</v>
      </c>
      <c r="Q339" s="3"/>
      <c r="R339" s="3"/>
      <c r="S339" s="6"/>
      <c r="T339" s="7"/>
      <c r="U339" s="7"/>
      <c r="V339" s="7"/>
      <c r="W339" s="7"/>
      <c r="X339" s="7"/>
      <c r="Y339" s="7"/>
      <c r="Z339" s="7"/>
      <c r="AA339" s="7"/>
      <c r="AB339" s="7"/>
      <c r="AC339" s="7"/>
      <c r="AD339" s="7"/>
      <c r="AE339" s="8"/>
      <c r="AF339" s="8"/>
      <c r="AG339" s="7"/>
    </row>
    <row r="340" spans="1:33" ht="19.7" customHeight="1" x14ac:dyDescent="0.25">
      <c r="A340" s="6">
        <v>42217</v>
      </c>
      <c r="B340" s="7">
        <f t="shared" si="46"/>
        <v>40343</v>
      </c>
      <c r="C340" s="7">
        <v>39771</v>
      </c>
      <c r="D340" s="7">
        <v>357</v>
      </c>
      <c r="E340" s="7">
        <v>215</v>
      </c>
      <c r="F340" s="7">
        <v>0</v>
      </c>
      <c r="G340" s="7">
        <v>0</v>
      </c>
      <c r="H340" s="7">
        <v>0</v>
      </c>
      <c r="I340" s="7">
        <v>0</v>
      </c>
      <c r="J340" s="7">
        <v>0</v>
      </c>
      <c r="K340" s="7">
        <f t="shared" si="47"/>
        <v>-5329</v>
      </c>
      <c r="L340" s="7">
        <f t="shared" si="48"/>
        <v>-5263</v>
      </c>
      <c r="M340" s="8">
        <f t="shared" si="49"/>
        <v>-0.11667980381853216</v>
      </c>
      <c r="N340" s="8">
        <f t="shared" si="50"/>
        <v>-0.11686725585113467</v>
      </c>
      <c r="O340" s="7">
        <v>4385</v>
      </c>
      <c r="Q340" s="3"/>
      <c r="R340" s="3"/>
      <c r="S340" s="6"/>
      <c r="T340" s="7"/>
      <c r="U340" s="7"/>
      <c r="V340" s="7"/>
      <c r="W340" s="7"/>
      <c r="X340" s="7"/>
      <c r="Y340" s="7"/>
      <c r="Z340" s="7"/>
      <c r="AA340" s="7"/>
      <c r="AB340" s="7"/>
      <c r="AC340" s="7"/>
      <c r="AD340" s="7"/>
      <c r="AE340" s="8"/>
      <c r="AF340" s="8"/>
      <c r="AG340" s="7"/>
    </row>
    <row r="341" spans="1:33" ht="19.7" customHeight="1" x14ac:dyDescent="0.25">
      <c r="A341" s="6">
        <v>42224</v>
      </c>
      <c r="B341" s="7">
        <f t="shared" si="46"/>
        <v>39995</v>
      </c>
      <c r="C341" s="7">
        <v>39512</v>
      </c>
      <c r="D341" s="7">
        <v>289</v>
      </c>
      <c r="E341" s="7">
        <v>194</v>
      </c>
      <c r="F341" s="7">
        <v>0</v>
      </c>
      <c r="G341" s="7">
        <v>0</v>
      </c>
      <c r="H341" s="7">
        <v>0</v>
      </c>
      <c r="I341" s="7">
        <v>0</v>
      </c>
      <c r="J341" s="7">
        <v>0</v>
      </c>
      <c r="K341" s="7">
        <f t="shared" si="47"/>
        <v>-5065</v>
      </c>
      <c r="L341" s="7">
        <f t="shared" si="48"/>
        <v>-5037</v>
      </c>
      <c r="M341" s="8">
        <f t="shared" si="49"/>
        <v>-0.1124056813138038</v>
      </c>
      <c r="N341" s="8">
        <f t="shared" si="50"/>
        <v>-0.1130665110327953</v>
      </c>
      <c r="O341" s="7">
        <v>4367</v>
      </c>
      <c r="Q341" s="3"/>
      <c r="R341" s="3"/>
      <c r="S341" s="6"/>
      <c r="T341" s="7"/>
      <c r="U341" s="7"/>
      <c r="V341" s="7"/>
      <c r="W341" s="7"/>
      <c r="X341" s="7"/>
      <c r="Y341" s="7"/>
      <c r="Z341" s="7"/>
      <c r="AA341" s="7"/>
      <c r="AB341" s="7"/>
      <c r="AC341" s="7"/>
      <c r="AD341" s="7"/>
      <c r="AE341" s="8"/>
      <c r="AF341" s="8"/>
      <c r="AG341" s="7"/>
    </row>
    <row r="342" spans="1:33" ht="19.7" customHeight="1" x14ac:dyDescent="0.25">
      <c r="A342" s="6">
        <v>42231</v>
      </c>
      <c r="B342" s="7">
        <f t="shared" si="46"/>
        <v>39295</v>
      </c>
      <c r="C342" s="7">
        <v>38879</v>
      </c>
      <c r="D342" s="7">
        <v>204</v>
      </c>
      <c r="E342" s="7">
        <v>212</v>
      </c>
      <c r="F342" s="7">
        <v>0</v>
      </c>
      <c r="G342" s="7">
        <v>0</v>
      </c>
      <c r="H342" s="7">
        <v>0</v>
      </c>
      <c r="I342" s="7">
        <v>0</v>
      </c>
      <c r="J342" s="7">
        <v>0</v>
      </c>
      <c r="K342" s="7">
        <f t="shared" si="47"/>
        <v>-4664</v>
      </c>
      <c r="L342" s="7">
        <f t="shared" si="48"/>
        <v>-4615</v>
      </c>
      <c r="M342" s="8">
        <f t="shared" si="49"/>
        <v>-0.10609886485133879</v>
      </c>
      <c r="N342" s="8">
        <f t="shared" si="50"/>
        <v>-0.10610658941463191</v>
      </c>
      <c r="O342" s="7">
        <v>4147</v>
      </c>
      <c r="Q342" s="3"/>
      <c r="R342" s="3"/>
      <c r="S342" s="6"/>
      <c r="T342" s="7"/>
      <c r="U342" s="7"/>
      <c r="V342" s="7"/>
      <c r="W342" s="7"/>
      <c r="X342" s="7"/>
      <c r="Y342" s="7"/>
      <c r="Z342" s="7"/>
      <c r="AA342" s="7"/>
      <c r="AB342" s="7"/>
      <c r="AC342" s="7"/>
      <c r="AD342" s="7"/>
      <c r="AE342" s="8"/>
      <c r="AF342" s="8"/>
      <c r="AG342" s="7"/>
    </row>
    <row r="343" spans="1:33" ht="19.7" customHeight="1" x14ac:dyDescent="0.25">
      <c r="A343" s="6">
        <v>42238</v>
      </c>
      <c r="B343" s="7">
        <f t="shared" si="46"/>
        <v>38400</v>
      </c>
      <c r="C343" s="7">
        <v>37997</v>
      </c>
      <c r="D343" s="7">
        <v>185</v>
      </c>
      <c r="E343" s="7">
        <v>218</v>
      </c>
      <c r="F343" s="7">
        <v>0</v>
      </c>
      <c r="G343" s="7">
        <v>0</v>
      </c>
      <c r="H343" s="7">
        <v>0</v>
      </c>
      <c r="I343" s="7">
        <v>0</v>
      </c>
      <c r="J343" s="7">
        <v>0</v>
      </c>
      <c r="K343" s="7">
        <f t="shared" si="47"/>
        <v>-4962</v>
      </c>
      <c r="L343" s="7">
        <f t="shared" si="48"/>
        <v>-3990</v>
      </c>
      <c r="M343" s="8">
        <f t="shared" si="49"/>
        <v>-0.1144319911443199</v>
      </c>
      <c r="N343" s="8">
        <f t="shared" si="50"/>
        <v>-9.5029413866196677E-2</v>
      </c>
      <c r="O343" s="7">
        <v>3863</v>
      </c>
      <c r="Q343" s="3"/>
      <c r="R343" s="3"/>
      <c r="S343" s="6"/>
      <c r="T343" s="7"/>
      <c r="U343" s="7"/>
      <c r="V343" s="7"/>
      <c r="W343" s="7"/>
      <c r="X343" s="7"/>
      <c r="Y343" s="7"/>
      <c r="Z343" s="7"/>
      <c r="AA343" s="7"/>
      <c r="AB343" s="7"/>
      <c r="AC343" s="7"/>
      <c r="AD343" s="7"/>
      <c r="AE343" s="8"/>
      <c r="AF343" s="8"/>
      <c r="AG343" s="7"/>
    </row>
    <row r="344" spans="1:33" ht="19.7" customHeight="1" x14ac:dyDescent="0.25">
      <c r="A344" s="6">
        <v>42245</v>
      </c>
      <c r="B344" s="7">
        <f t="shared" ref="B344:B353" si="53">IF(SUM(C344:J344)="","",SUM(C344:J344))</f>
        <v>37674</v>
      </c>
      <c r="C344" s="7">
        <v>37297</v>
      </c>
      <c r="D344" s="7">
        <v>153</v>
      </c>
      <c r="E344" s="7">
        <v>224</v>
      </c>
      <c r="F344" s="7">
        <v>0</v>
      </c>
      <c r="G344" s="7">
        <v>0</v>
      </c>
      <c r="H344" s="7">
        <v>0</v>
      </c>
      <c r="I344" s="7">
        <v>0</v>
      </c>
      <c r="J344" s="7">
        <v>0</v>
      </c>
      <c r="K344" s="7">
        <f t="shared" si="47"/>
        <v>-3153</v>
      </c>
      <c r="L344" s="7">
        <f t="shared" si="48"/>
        <v>-3141</v>
      </c>
      <c r="M344" s="8">
        <f t="shared" si="49"/>
        <v>-7.7228304798295233E-2</v>
      </c>
      <c r="N344" s="8">
        <f t="shared" si="50"/>
        <v>-7.7674464612493166E-2</v>
      </c>
      <c r="O344" s="7">
        <v>3797</v>
      </c>
      <c r="Q344" s="3"/>
      <c r="R344" s="3"/>
      <c r="S344" s="6"/>
      <c r="T344" s="7"/>
      <c r="U344" s="7"/>
      <c r="V344" s="7"/>
      <c r="W344" s="7"/>
      <c r="X344" s="7"/>
      <c r="Y344" s="7"/>
      <c r="Z344" s="7"/>
      <c r="AA344" s="7"/>
      <c r="AB344" s="7"/>
      <c r="AC344" s="7"/>
      <c r="AD344" s="7"/>
      <c r="AE344" s="8"/>
      <c r="AF344" s="8"/>
      <c r="AG344" s="7"/>
    </row>
    <row r="345" spans="1:33" ht="19.7" customHeight="1" x14ac:dyDescent="0.25">
      <c r="A345" s="6">
        <v>42252</v>
      </c>
      <c r="B345" s="7">
        <f t="shared" si="53"/>
        <v>35935</v>
      </c>
      <c r="C345" s="7">
        <v>35587</v>
      </c>
      <c r="D345" s="7">
        <v>141</v>
      </c>
      <c r="E345" s="7">
        <v>207</v>
      </c>
      <c r="F345" s="7">
        <v>0</v>
      </c>
      <c r="G345" s="7">
        <v>0</v>
      </c>
      <c r="H345" s="7">
        <v>0</v>
      </c>
      <c r="I345" s="7">
        <v>0</v>
      </c>
      <c r="J345" s="7">
        <v>0</v>
      </c>
      <c r="K345" s="7">
        <f t="shared" ref="K345" si="54">IF(B345=0,"",B345-B293)</f>
        <v>-3439</v>
      </c>
      <c r="L345" s="7">
        <f t="shared" ref="L345" si="55">IF(C345=0,"",C345-C293)</f>
        <v>-3366</v>
      </c>
      <c r="M345" s="8">
        <f t="shared" ref="M345" si="56">IF(K345="","",B345/B293-1)</f>
        <v>-8.7341900746685686E-2</v>
      </c>
      <c r="N345" s="8">
        <f t="shared" ref="N345" si="57">IF(L345="","",C345/C293-1)</f>
        <v>-8.6411829640849258E-2</v>
      </c>
      <c r="O345" s="7">
        <v>3972</v>
      </c>
      <c r="Q345" s="3"/>
      <c r="R345" s="3"/>
      <c r="S345" s="6"/>
      <c r="T345" s="7"/>
      <c r="U345" s="7"/>
      <c r="V345" s="7"/>
      <c r="W345" s="7"/>
      <c r="X345" s="7"/>
      <c r="Y345" s="7"/>
      <c r="Z345" s="7"/>
      <c r="AA345" s="7"/>
      <c r="AB345" s="7"/>
      <c r="AC345" s="7"/>
      <c r="AD345" s="7"/>
      <c r="AE345" s="8"/>
      <c r="AF345" s="8"/>
      <c r="AG345" s="7"/>
    </row>
    <row r="346" spans="1:33" ht="19.7" customHeight="1" x14ac:dyDescent="0.25">
      <c r="A346" s="6">
        <v>42259</v>
      </c>
      <c r="B346" s="7">
        <f t="shared" si="53"/>
        <v>34747</v>
      </c>
      <c r="C346" s="7">
        <v>34404</v>
      </c>
      <c r="D346" s="7">
        <v>134</v>
      </c>
      <c r="E346" s="7">
        <v>209</v>
      </c>
      <c r="F346" s="7">
        <v>0</v>
      </c>
      <c r="G346" s="7">
        <v>0</v>
      </c>
      <c r="H346" s="7">
        <v>0</v>
      </c>
      <c r="I346" s="7">
        <v>0</v>
      </c>
      <c r="J346" s="7">
        <v>0</v>
      </c>
      <c r="K346" s="7">
        <f t="shared" si="47"/>
        <v>-3726</v>
      </c>
      <c r="L346" s="7">
        <f t="shared" si="48"/>
        <v>-3657</v>
      </c>
      <c r="M346" s="8">
        <f t="shared" si="49"/>
        <v>-9.6847139552413419E-2</v>
      </c>
      <c r="N346" s="8">
        <f t="shared" si="50"/>
        <v>-9.6082604240561253E-2</v>
      </c>
      <c r="O346" s="7">
        <v>3277</v>
      </c>
      <c r="Q346" s="3"/>
      <c r="R346" s="3"/>
      <c r="S346" s="6"/>
      <c r="T346" s="7"/>
      <c r="U346" s="7"/>
      <c r="V346" s="7"/>
      <c r="W346" s="7"/>
      <c r="X346" s="7"/>
      <c r="Y346" s="7"/>
      <c r="Z346" s="7"/>
      <c r="AA346" s="7"/>
      <c r="AB346" s="7"/>
      <c r="AC346" s="7"/>
      <c r="AD346" s="7"/>
      <c r="AE346" s="8"/>
      <c r="AF346" s="8"/>
      <c r="AG346" s="7"/>
    </row>
    <row r="347" spans="1:33" ht="19.7" customHeight="1" x14ac:dyDescent="0.25">
      <c r="A347" s="6">
        <v>42266</v>
      </c>
      <c r="B347" s="7">
        <f t="shared" si="53"/>
        <v>34618</v>
      </c>
      <c r="C347" s="7">
        <v>34283</v>
      </c>
      <c r="D347" s="7">
        <v>135</v>
      </c>
      <c r="E347" s="7">
        <v>200</v>
      </c>
      <c r="F347" s="7">
        <v>0</v>
      </c>
      <c r="G347" s="7">
        <v>0</v>
      </c>
      <c r="H347" s="7">
        <v>0</v>
      </c>
      <c r="I347" s="7">
        <v>0</v>
      </c>
      <c r="J347" s="7">
        <v>0</v>
      </c>
      <c r="K347" s="7">
        <f t="shared" si="47"/>
        <v>-3123</v>
      </c>
      <c r="L347" s="7">
        <f t="shared" si="48"/>
        <v>-3009</v>
      </c>
      <c r="M347" s="8">
        <f t="shared" si="49"/>
        <v>-8.2748204870035202E-2</v>
      </c>
      <c r="N347" s="8">
        <f t="shared" si="50"/>
        <v>-8.068754692695479E-2</v>
      </c>
      <c r="O347" s="7">
        <v>3742</v>
      </c>
      <c r="Q347" s="3"/>
      <c r="R347" s="3"/>
      <c r="S347" s="6"/>
      <c r="T347" s="7"/>
      <c r="U347" s="7"/>
      <c r="V347" s="7"/>
      <c r="W347" s="7"/>
      <c r="X347" s="7"/>
      <c r="Y347" s="7"/>
      <c r="Z347" s="7"/>
      <c r="AA347" s="7"/>
      <c r="AB347" s="7"/>
      <c r="AC347" s="7"/>
      <c r="AD347" s="7"/>
      <c r="AE347" s="8"/>
      <c r="AF347" s="8"/>
      <c r="AG347" s="7"/>
    </row>
    <row r="348" spans="1:33" ht="19.7" customHeight="1" x14ac:dyDescent="0.25">
      <c r="A348" s="6">
        <v>42273</v>
      </c>
      <c r="B348" s="7">
        <f t="shared" si="53"/>
        <v>33247</v>
      </c>
      <c r="C348" s="7">
        <v>32945</v>
      </c>
      <c r="D348" s="7">
        <v>129</v>
      </c>
      <c r="E348" s="7">
        <v>172</v>
      </c>
      <c r="F348" s="7">
        <v>1</v>
      </c>
      <c r="G348" s="7">
        <v>0</v>
      </c>
      <c r="H348" s="7">
        <v>0</v>
      </c>
      <c r="I348" s="7">
        <v>0</v>
      </c>
      <c r="J348" s="7">
        <v>0</v>
      </c>
      <c r="K348" s="7">
        <f t="shared" ref="K348:K349" si="58">IF(B348=0,"",B348-B296)</f>
        <v>-3684</v>
      </c>
      <c r="L348" s="7">
        <f t="shared" ref="L348:L349" si="59">IF(C348=0,"",C348-C296)</f>
        <v>-3555</v>
      </c>
      <c r="M348" s="8">
        <f t="shared" ref="M348:M349" si="60">IF(K348="","",B348/B296-1)</f>
        <v>-9.9753594541171386E-2</v>
      </c>
      <c r="N348" s="8">
        <f t="shared" ref="N348:N349" si="61">IF(L348="","",C348/C296-1)</f>
        <v>-9.7397260273972552E-2</v>
      </c>
      <c r="O348" s="7">
        <v>3439</v>
      </c>
      <c r="Q348" s="3"/>
      <c r="R348" s="3"/>
      <c r="S348" s="6"/>
      <c r="T348" s="7"/>
      <c r="U348" s="7"/>
      <c r="V348" s="7"/>
      <c r="W348" s="7"/>
      <c r="X348" s="7"/>
      <c r="Y348" s="7"/>
      <c r="Z348" s="7"/>
      <c r="AA348" s="7"/>
      <c r="AB348" s="7"/>
      <c r="AC348" s="7"/>
      <c r="AD348" s="7"/>
      <c r="AE348" s="8"/>
      <c r="AF348" s="8"/>
      <c r="AG348" s="7"/>
    </row>
    <row r="349" spans="1:33" ht="19.7" customHeight="1" x14ac:dyDescent="0.25">
      <c r="A349" s="6">
        <v>42280</v>
      </c>
      <c r="B349" s="7">
        <f t="shared" si="53"/>
        <v>32858</v>
      </c>
      <c r="C349" s="7">
        <v>32529</v>
      </c>
      <c r="D349" s="7">
        <v>136</v>
      </c>
      <c r="E349" s="7">
        <v>192</v>
      </c>
      <c r="F349" s="7">
        <v>1</v>
      </c>
      <c r="G349" s="7">
        <v>0</v>
      </c>
      <c r="H349" s="7">
        <v>0</v>
      </c>
      <c r="I349" s="7">
        <v>0</v>
      </c>
      <c r="J349" s="7">
        <v>0</v>
      </c>
      <c r="K349" s="7">
        <f t="shared" si="58"/>
        <v>-3131</v>
      </c>
      <c r="L349" s="7">
        <f t="shared" si="59"/>
        <v>-3025</v>
      </c>
      <c r="M349" s="8">
        <f t="shared" si="60"/>
        <v>-8.699880519047487E-2</v>
      </c>
      <c r="N349" s="8">
        <f t="shared" si="61"/>
        <v>-8.5081847330820692E-2</v>
      </c>
      <c r="O349" s="7">
        <v>4161</v>
      </c>
      <c r="Q349" s="3"/>
      <c r="R349" s="3"/>
      <c r="S349" s="6"/>
      <c r="T349" s="7"/>
      <c r="U349" s="7"/>
      <c r="V349" s="7"/>
      <c r="W349" s="7"/>
      <c r="X349" s="7"/>
      <c r="Y349" s="7"/>
      <c r="Z349" s="7"/>
      <c r="AA349" s="7"/>
      <c r="AB349" s="7"/>
      <c r="AC349" s="7"/>
      <c r="AD349" s="7"/>
      <c r="AE349" s="8"/>
      <c r="AF349" s="8"/>
      <c r="AG349" s="7"/>
    </row>
    <row r="350" spans="1:33" ht="19.7" customHeight="1" x14ac:dyDescent="0.25">
      <c r="A350" s="6">
        <v>42287</v>
      </c>
      <c r="B350" s="7">
        <f t="shared" si="53"/>
        <v>31428</v>
      </c>
      <c r="C350" s="7">
        <v>31105</v>
      </c>
      <c r="D350" s="7">
        <v>154</v>
      </c>
      <c r="E350" s="7">
        <v>168</v>
      </c>
      <c r="F350" s="7">
        <v>1</v>
      </c>
      <c r="G350" s="7">
        <v>0</v>
      </c>
      <c r="H350" s="7">
        <v>0</v>
      </c>
      <c r="I350" s="7">
        <v>0</v>
      </c>
      <c r="J350" s="7">
        <v>0</v>
      </c>
      <c r="K350" s="7">
        <f t="shared" si="47"/>
        <v>-3793</v>
      </c>
      <c r="L350" s="7">
        <f t="shared" si="48"/>
        <v>-3656</v>
      </c>
      <c r="M350" s="8">
        <f t="shared" si="49"/>
        <v>-0.10769143408761817</v>
      </c>
      <c r="N350" s="8">
        <f t="shared" si="50"/>
        <v>-0.1051753401800869</v>
      </c>
      <c r="O350" s="7">
        <v>4347</v>
      </c>
      <c r="Q350" s="3"/>
      <c r="R350" s="3"/>
      <c r="S350" s="6"/>
      <c r="T350" s="7"/>
      <c r="U350" s="7"/>
      <c r="V350" s="7"/>
      <c r="W350" s="7"/>
      <c r="X350" s="7"/>
      <c r="Y350" s="7"/>
      <c r="Z350" s="7"/>
      <c r="AA350" s="7"/>
      <c r="AB350" s="7"/>
      <c r="AC350" s="7"/>
      <c r="AD350" s="7"/>
      <c r="AE350" s="8"/>
      <c r="AF350" s="8"/>
      <c r="AG350" s="7"/>
    </row>
    <row r="351" spans="1:33" ht="19.7" customHeight="1" x14ac:dyDescent="0.25">
      <c r="A351" s="6">
        <v>42294</v>
      </c>
      <c r="B351" s="7">
        <f t="shared" si="53"/>
        <v>30931</v>
      </c>
      <c r="C351" s="7">
        <v>30606</v>
      </c>
      <c r="D351" s="7">
        <v>151</v>
      </c>
      <c r="E351" s="7">
        <v>173</v>
      </c>
      <c r="F351" s="7">
        <v>1</v>
      </c>
      <c r="G351" s="7">
        <v>0</v>
      </c>
      <c r="H351" s="7">
        <v>0</v>
      </c>
      <c r="I351" s="7">
        <v>0</v>
      </c>
      <c r="J351" s="7">
        <v>0</v>
      </c>
      <c r="K351" s="7">
        <f t="shared" ref="K351:K352" si="62">IF(B351=0,"",B351-B299)</f>
        <v>-3682</v>
      </c>
      <c r="L351" s="7">
        <f t="shared" ref="L351" si="63">IF(C351=0,"",C351-C299)</f>
        <v>-3549</v>
      </c>
      <c r="M351" s="8">
        <f t="shared" ref="M351" si="64">IF(K351="","",B351/B299-1)</f>
        <v>-0.10637621702828415</v>
      </c>
      <c r="N351" s="8">
        <f t="shared" ref="N351" si="65">IF(L351="","",C351/C299-1)</f>
        <v>-0.10390865173473873</v>
      </c>
      <c r="O351" s="7">
        <v>3753</v>
      </c>
      <c r="Q351" s="3"/>
      <c r="R351" s="3"/>
      <c r="S351" s="6"/>
      <c r="T351" s="7"/>
      <c r="U351" s="7"/>
      <c r="V351" s="7"/>
      <c r="W351" s="7"/>
      <c r="X351" s="7"/>
      <c r="Y351" s="7"/>
      <c r="Z351" s="7"/>
      <c r="AA351" s="7"/>
      <c r="AB351" s="7"/>
      <c r="AC351" s="7"/>
      <c r="AD351" s="7"/>
      <c r="AE351" s="8"/>
      <c r="AF351" s="8"/>
      <c r="AG351" s="7"/>
    </row>
    <row r="352" spans="1:33" ht="19.7" customHeight="1" x14ac:dyDescent="0.25">
      <c r="A352" s="6">
        <v>42301</v>
      </c>
      <c r="B352" s="7">
        <f t="shared" si="53"/>
        <v>30874</v>
      </c>
      <c r="C352" s="7">
        <v>30526</v>
      </c>
      <c r="D352" s="7">
        <v>152</v>
      </c>
      <c r="E352" s="7">
        <v>195</v>
      </c>
      <c r="F352" s="7">
        <v>1</v>
      </c>
      <c r="G352" s="7">
        <v>0</v>
      </c>
      <c r="H352" s="7">
        <v>0</v>
      </c>
      <c r="I352" s="7">
        <v>0</v>
      </c>
      <c r="J352" s="7">
        <v>0</v>
      </c>
      <c r="K352" s="7">
        <f t="shared" si="62"/>
        <v>-2988</v>
      </c>
      <c r="L352" s="7">
        <f t="shared" si="48"/>
        <v>-2890</v>
      </c>
      <c r="M352" s="8">
        <f t="shared" si="49"/>
        <v>-8.8240505581477779E-2</v>
      </c>
      <c r="N352" s="8">
        <f t="shared" si="50"/>
        <v>-8.648551592051712E-2</v>
      </c>
      <c r="O352" s="7">
        <v>3867</v>
      </c>
      <c r="Q352" s="3"/>
      <c r="R352" s="3"/>
      <c r="S352" s="6"/>
      <c r="T352" s="7"/>
      <c r="U352" s="7"/>
      <c r="V352" s="7"/>
      <c r="W352" s="7"/>
      <c r="X352" s="7"/>
      <c r="Y352" s="7"/>
      <c r="Z352" s="7"/>
      <c r="AA352" s="7"/>
      <c r="AB352" s="7"/>
      <c r="AC352" s="7"/>
      <c r="AD352" s="7"/>
      <c r="AE352" s="8"/>
      <c r="AF352" s="8"/>
      <c r="AG352" s="7"/>
    </row>
    <row r="353" spans="1:33" ht="19.7" customHeight="1" x14ac:dyDescent="0.25">
      <c r="A353" s="6">
        <v>42308</v>
      </c>
      <c r="B353" s="7">
        <f t="shared" si="53"/>
        <v>29798</v>
      </c>
      <c r="C353" s="7">
        <v>29444</v>
      </c>
      <c r="D353" s="7">
        <v>175</v>
      </c>
      <c r="E353" s="7">
        <v>178</v>
      </c>
      <c r="F353" s="7">
        <v>1</v>
      </c>
      <c r="G353" s="7">
        <v>0</v>
      </c>
      <c r="H353" s="7">
        <v>0</v>
      </c>
      <c r="I353" s="7">
        <v>0</v>
      </c>
      <c r="J353" s="7">
        <v>0</v>
      </c>
      <c r="K353" s="7">
        <f t="shared" ref="K353" si="66">IF(B353=0,"",B353-B301)</f>
        <v>-4112</v>
      </c>
      <c r="L353" s="7">
        <f t="shared" ref="L353" si="67">IF(C353=0,"",C353-C301)</f>
        <v>-3947</v>
      </c>
      <c r="M353" s="8">
        <f t="shared" ref="M353" si="68">IF(K353="","",B353/B301-1)</f>
        <v>-0.12126216455322913</v>
      </c>
      <c r="N353" s="8">
        <f t="shared" ref="N353" si="69">IF(L353="","",C353/C301-1)</f>
        <v>-0.11820550447725431</v>
      </c>
      <c r="O353" s="7">
        <v>3702</v>
      </c>
      <c r="Q353" s="3"/>
      <c r="R353" s="3"/>
      <c r="S353" s="6"/>
      <c r="T353" s="7"/>
      <c r="U353" s="7"/>
      <c r="V353" s="7"/>
      <c r="W353" s="7"/>
      <c r="X353" s="7"/>
      <c r="Y353" s="7"/>
      <c r="Z353" s="7"/>
      <c r="AA353" s="7"/>
      <c r="AB353" s="7"/>
      <c r="AC353" s="7"/>
      <c r="AD353" s="7"/>
      <c r="AE353" s="8"/>
      <c r="AF353" s="8"/>
      <c r="AG353" s="7"/>
    </row>
    <row r="354" spans="1:33" ht="19.7" customHeight="1" x14ac:dyDescent="0.25">
      <c r="A354" s="6">
        <v>42315</v>
      </c>
      <c r="B354" s="7">
        <f t="shared" ref="B354:B355" si="70">IF(SUM(C354:J354)="","",SUM(C354:J354))</f>
        <v>29510</v>
      </c>
      <c r="C354" s="7">
        <v>29144</v>
      </c>
      <c r="D354" s="7">
        <v>188</v>
      </c>
      <c r="E354" s="7">
        <v>177</v>
      </c>
      <c r="F354" s="7">
        <v>1</v>
      </c>
      <c r="G354" s="7">
        <v>0</v>
      </c>
      <c r="H354" s="7">
        <v>0</v>
      </c>
      <c r="I354" s="7">
        <v>0</v>
      </c>
      <c r="J354" s="7">
        <v>0</v>
      </c>
      <c r="K354" s="7">
        <f t="shared" ref="K354:K355" si="71">IF(B354=0,"",B354-B302)</f>
        <v>-3145</v>
      </c>
      <c r="L354" s="7">
        <f t="shared" ref="L354:L355" si="72">IF(C354=0,"",C354-C302)</f>
        <v>-3013</v>
      </c>
      <c r="M354" s="8">
        <f t="shared" ref="M354:M355" si="73">IF(K354="","",B354/B302-1)</f>
        <v>-9.6309906599295614E-2</v>
      </c>
      <c r="N354" s="8">
        <f t="shared" ref="N354:N355" si="74">IF(L354="","",C354/C302-1)</f>
        <v>-9.369655129520793E-2</v>
      </c>
      <c r="O354" s="7">
        <v>4235</v>
      </c>
      <c r="Q354" s="3"/>
      <c r="R354" s="3"/>
      <c r="S354" s="6"/>
      <c r="T354" s="7"/>
      <c r="U354" s="7"/>
      <c r="V354" s="7"/>
      <c r="W354" s="7"/>
      <c r="X354" s="7"/>
      <c r="Y354" s="7"/>
      <c r="Z354" s="7"/>
      <c r="AA354" s="7"/>
      <c r="AB354" s="7"/>
      <c r="AC354" s="7"/>
      <c r="AD354" s="7"/>
      <c r="AE354" s="8"/>
      <c r="AF354" s="8"/>
      <c r="AG354" s="7"/>
    </row>
    <row r="355" spans="1:33" ht="19.7" customHeight="1" x14ac:dyDescent="0.25">
      <c r="A355" s="6">
        <v>42322</v>
      </c>
      <c r="B355" s="7">
        <f t="shared" si="70"/>
        <v>28473</v>
      </c>
      <c r="C355" s="7">
        <v>28069</v>
      </c>
      <c r="D355" s="7">
        <v>217</v>
      </c>
      <c r="E355" s="7">
        <v>186</v>
      </c>
      <c r="F355" s="7">
        <v>1</v>
      </c>
      <c r="G355" s="7">
        <v>0</v>
      </c>
      <c r="H355" s="7">
        <v>0</v>
      </c>
      <c r="I355" s="7">
        <v>0</v>
      </c>
      <c r="J355" s="7">
        <v>0</v>
      </c>
      <c r="K355" s="7">
        <f t="shared" si="71"/>
        <v>-3146</v>
      </c>
      <c r="L355" s="7">
        <f t="shared" si="72"/>
        <v>-3049</v>
      </c>
      <c r="M355" s="8">
        <f t="shared" si="73"/>
        <v>-9.9497137796894286E-2</v>
      </c>
      <c r="N355" s="8">
        <f t="shared" si="74"/>
        <v>-9.7981875441866428E-2</v>
      </c>
      <c r="O355" s="7">
        <v>3674</v>
      </c>
      <c r="Q355" s="3"/>
      <c r="R355" s="3"/>
      <c r="S355" s="6"/>
      <c r="T355" s="7"/>
      <c r="U355" s="7"/>
      <c r="V355" s="7"/>
      <c r="W355" s="7"/>
      <c r="X355" s="7"/>
      <c r="Y355" s="7"/>
      <c r="Z355" s="7"/>
      <c r="AA355" s="7"/>
      <c r="AB355" s="7"/>
      <c r="AC355" s="7"/>
      <c r="AD355" s="7"/>
      <c r="AE355" s="8"/>
      <c r="AF355" s="8"/>
      <c r="AG355" s="7"/>
    </row>
    <row r="356" spans="1:33" ht="19.7" customHeight="1" x14ac:dyDescent="0.25">
      <c r="A356" s="6">
        <v>42329</v>
      </c>
      <c r="B356" s="7">
        <f t="shared" ref="B356:B358" si="75">IF(SUM(C356:J356)="","",SUM(C356:J356))</f>
        <v>28508</v>
      </c>
      <c r="C356" s="7">
        <v>28102</v>
      </c>
      <c r="D356" s="7">
        <v>221</v>
      </c>
      <c r="E356" s="7">
        <v>184</v>
      </c>
      <c r="F356" s="7">
        <v>1</v>
      </c>
      <c r="G356" s="7">
        <v>0</v>
      </c>
      <c r="H356" s="7">
        <v>0</v>
      </c>
      <c r="I356" s="7">
        <v>0</v>
      </c>
      <c r="J356" s="7">
        <v>0</v>
      </c>
      <c r="K356" s="7">
        <f t="shared" ref="K356:K358" si="76">IF(B356=0,"",B356-B304)</f>
        <v>-2964</v>
      </c>
      <c r="L356" s="7">
        <f t="shared" ref="L356:L358" si="77">IF(C356=0,"",C356-C304)</f>
        <v>-2864</v>
      </c>
      <c r="M356" s="8">
        <f t="shared" ref="M356:M358" si="78">IF(K356="","",B356/B304-1)</f>
        <v>-9.4178952719877973E-2</v>
      </c>
      <c r="N356" s="8">
        <f t="shared" ref="N356:N358" si="79">IF(L356="","",C356/C304-1)</f>
        <v>-9.2488535813472827E-2</v>
      </c>
      <c r="O356" s="7">
        <v>4073</v>
      </c>
      <c r="Q356" s="3"/>
      <c r="R356" s="3"/>
      <c r="S356" s="6"/>
      <c r="T356" s="7"/>
      <c r="U356" s="7"/>
      <c r="V356" s="7"/>
      <c r="W356" s="7"/>
      <c r="X356" s="7"/>
      <c r="Y356" s="7"/>
      <c r="Z356" s="7"/>
      <c r="AA356" s="7"/>
      <c r="AB356" s="7"/>
      <c r="AC356" s="7"/>
      <c r="AD356" s="7"/>
      <c r="AE356" s="8"/>
      <c r="AF356" s="8"/>
      <c r="AG356" s="7"/>
    </row>
    <row r="357" spans="1:33" ht="19.7" customHeight="1" x14ac:dyDescent="0.25">
      <c r="A357" s="6">
        <v>42336</v>
      </c>
      <c r="B357" s="7">
        <f t="shared" si="75"/>
        <v>26630</v>
      </c>
      <c r="C357" s="7">
        <v>26218</v>
      </c>
      <c r="D357" s="7">
        <v>220</v>
      </c>
      <c r="E357" s="7">
        <v>191</v>
      </c>
      <c r="F357" s="7">
        <v>1</v>
      </c>
      <c r="G357" s="7">
        <v>0</v>
      </c>
      <c r="H357" s="7">
        <v>0</v>
      </c>
      <c r="I357" s="7">
        <v>0</v>
      </c>
      <c r="J357" s="7">
        <v>0</v>
      </c>
      <c r="K357" s="7">
        <f t="shared" si="76"/>
        <v>-2492</v>
      </c>
      <c r="L357" s="7">
        <f t="shared" si="77"/>
        <v>-2399</v>
      </c>
      <c r="M357" s="8">
        <f t="shared" si="78"/>
        <v>-8.5571045944646706E-2</v>
      </c>
      <c r="N357" s="8">
        <f t="shared" si="79"/>
        <v>-8.3831289093895256E-2</v>
      </c>
      <c r="O357" s="7">
        <v>2581</v>
      </c>
      <c r="Q357" s="3"/>
      <c r="R357" s="3"/>
      <c r="S357" s="6"/>
      <c r="T357" s="7"/>
      <c r="U357" s="7"/>
      <c r="V357" s="7"/>
      <c r="W357" s="7"/>
      <c r="X357" s="7"/>
      <c r="Y357" s="7"/>
      <c r="Z357" s="7"/>
      <c r="AA357" s="7"/>
      <c r="AB357" s="7"/>
      <c r="AC357" s="7"/>
      <c r="AD357" s="7"/>
      <c r="AE357" s="8"/>
      <c r="AF357" s="8"/>
      <c r="AG357" s="7"/>
    </row>
    <row r="358" spans="1:33" ht="19.7" customHeight="1" x14ac:dyDescent="0.25">
      <c r="A358" s="6">
        <v>42343</v>
      </c>
      <c r="B358" s="7">
        <f t="shared" si="75"/>
        <v>28228</v>
      </c>
      <c r="C358" s="7">
        <v>27792</v>
      </c>
      <c r="D358" s="7">
        <v>239</v>
      </c>
      <c r="E358" s="7">
        <v>196</v>
      </c>
      <c r="F358" s="7">
        <v>1</v>
      </c>
      <c r="G358" s="7">
        <v>0</v>
      </c>
      <c r="H358" s="7">
        <v>0</v>
      </c>
      <c r="I358" s="7">
        <v>0</v>
      </c>
      <c r="J358" s="7">
        <v>0</v>
      </c>
      <c r="K358" s="7">
        <f t="shared" si="76"/>
        <v>-2994</v>
      </c>
      <c r="L358" s="7">
        <f t="shared" si="77"/>
        <v>-2855</v>
      </c>
      <c r="M358" s="8">
        <f t="shared" si="78"/>
        <v>-9.5893920953174061E-2</v>
      </c>
      <c r="N358" s="8">
        <f t="shared" si="79"/>
        <v>-9.3157568440630389E-2</v>
      </c>
      <c r="O358" s="7">
        <v>3930</v>
      </c>
      <c r="Q358" s="3"/>
      <c r="R358" s="3"/>
      <c r="S358" s="6"/>
      <c r="T358" s="7"/>
      <c r="U358" s="7"/>
      <c r="V358" s="7"/>
      <c r="W358" s="7"/>
      <c r="X358" s="7"/>
      <c r="Y358" s="7"/>
      <c r="Z358" s="7"/>
      <c r="AA358" s="7"/>
      <c r="AB358" s="7"/>
      <c r="AC358" s="7"/>
      <c r="AD358" s="7"/>
      <c r="AE358" s="8"/>
      <c r="AF358" s="8"/>
      <c r="AG358" s="7"/>
    </row>
    <row r="359" spans="1:33" ht="19.7" customHeight="1" x14ac:dyDescent="0.25">
      <c r="A359" s="6">
        <v>42350</v>
      </c>
      <c r="B359" s="7">
        <f t="shared" ref="B359" si="80">IF(SUM(C359:J359)="","",SUM(C359:J359))</f>
        <v>26941</v>
      </c>
      <c r="C359" s="7">
        <v>26491</v>
      </c>
      <c r="D359" s="7">
        <v>250</v>
      </c>
      <c r="E359" s="7">
        <v>199</v>
      </c>
      <c r="F359" s="7">
        <v>1</v>
      </c>
      <c r="G359" s="7">
        <v>0</v>
      </c>
      <c r="H359" s="7">
        <v>0</v>
      </c>
      <c r="I359" s="7">
        <v>0</v>
      </c>
      <c r="J359" s="7">
        <v>0</v>
      </c>
      <c r="K359" s="7">
        <f t="shared" ref="K359" si="81">IF(B359=0,"",B359-B307)</f>
        <v>-3154</v>
      </c>
      <c r="L359" s="7">
        <f t="shared" ref="L359" si="82">IF(C359=0,"",C359-C307)</f>
        <v>-3073</v>
      </c>
      <c r="M359" s="8">
        <f t="shared" ref="M359" si="83">IF(K359="","",B359/B307-1)</f>
        <v>-0.10480146203688323</v>
      </c>
      <c r="N359" s="8">
        <f t="shared" ref="N359" si="84">IF(L359="","",C359/C307-1)</f>
        <v>-0.10394398592883236</v>
      </c>
      <c r="O359" s="7">
        <v>4008</v>
      </c>
      <c r="Q359" s="3"/>
      <c r="R359" s="3"/>
      <c r="S359" s="6"/>
      <c r="T359" s="7"/>
      <c r="U359" s="7"/>
      <c r="V359" s="7"/>
      <c r="W359" s="7"/>
      <c r="X359" s="7"/>
      <c r="Y359" s="7"/>
      <c r="Z359" s="7"/>
      <c r="AA359" s="7"/>
      <c r="AB359" s="7"/>
      <c r="AC359" s="7"/>
      <c r="AD359" s="7"/>
      <c r="AE359" s="8"/>
      <c r="AF359" s="8"/>
      <c r="AG359" s="7"/>
    </row>
    <row r="360" spans="1:33" ht="19.7" customHeight="1" x14ac:dyDescent="0.25">
      <c r="A360" s="6">
        <v>42357</v>
      </c>
      <c r="B360" s="7">
        <f t="shared" ref="B360" si="85">IF(SUM(C360:J360)="","",SUM(C360:J360))</f>
        <v>27246</v>
      </c>
      <c r="C360" s="7">
        <v>26797</v>
      </c>
      <c r="D360" s="7">
        <v>252</v>
      </c>
      <c r="E360" s="7">
        <v>196</v>
      </c>
      <c r="F360" s="7">
        <v>1</v>
      </c>
      <c r="G360" s="7">
        <v>0</v>
      </c>
      <c r="H360" s="7">
        <v>0</v>
      </c>
      <c r="I360" s="7">
        <v>0</v>
      </c>
      <c r="J360" s="7">
        <v>0</v>
      </c>
      <c r="K360" s="7">
        <f t="shared" ref="K360" si="86">IF(B360=0,"",B360-B308)</f>
        <v>-3024</v>
      </c>
      <c r="L360" s="7">
        <f t="shared" ref="L360" si="87">IF(C360=0,"",C360-C308)</f>
        <v>-2880</v>
      </c>
      <c r="M360" s="8">
        <f t="shared" ref="M360" si="88">IF(K360="","",B360/B308-1)</f>
        <v>-9.9900891972249717E-2</v>
      </c>
      <c r="N360" s="8">
        <f t="shared" ref="N360" si="89">IF(L360="","",C360/C308-1)</f>
        <v>-9.7044849546787049E-2</v>
      </c>
      <c r="O360" s="7">
        <v>3845</v>
      </c>
      <c r="Q360" s="3"/>
      <c r="R360" s="3"/>
      <c r="S360" s="6"/>
      <c r="T360" s="7"/>
      <c r="U360" s="7"/>
      <c r="V360" s="7"/>
      <c r="W360" s="7"/>
      <c r="X360" s="7"/>
      <c r="Y360" s="7"/>
      <c r="Z360" s="7"/>
      <c r="AA360" s="7"/>
      <c r="AB360" s="7"/>
      <c r="AC360" s="7"/>
      <c r="AD360" s="7"/>
      <c r="AE360" s="8"/>
      <c r="AF360" s="8"/>
      <c r="AG360" s="7"/>
    </row>
    <row r="361" spans="1:33" ht="19.7" customHeight="1" x14ac:dyDescent="0.25">
      <c r="A361" s="6">
        <v>42364</v>
      </c>
      <c r="B361" s="7">
        <f t="shared" ref="B361" si="90">IF(SUM(C361:J361)="","",SUM(C361:J361))</f>
        <v>25783</v>
      </c>
      <c r="C361" s="7">
        <v>25321</v>
      </c>
      <c r="D361" s="7">
        <v>292</v>
      </c>
      <c r="E361" s="7">
        <v>170</v>
      </c>
      <c r="F361" s="7">
        <v>0</v>
      </c>
      <c r="G361" s="7">
        <v>0</v>
      </c>
      <c r="H361" s="7">
        <v>0</v>
      </c>
      <c r="I361" s="7">
        <v>0</v>
      </c>
      <c r="J361" s="7">
        <v>0</v>
      </c>
      <c r="K361" s="7">
        <f t="shared" ref="K361" si="91">IF(B361=0,"",B361-B309)</f>
        <v>-3216</v>
      </c>
      <c r="L361" s="7">
        <f t="shared" ref="L361" si="92">IF(C361=0,"",C361-C309)</f>
        <v>-3147</v>
      </c>
      <c r="M361" s="8">
        <f t="shared" ref="M361" si="93">IF(K361="","",B361/B309-1)</f>
        <v>-0.11090037587503021</v>
      </c>
      <c r="N361" s="8">
        <f t="shared" ref="N361" si="94">IF(L361="","",C361/C309-1)</f>
        <v>-0.11054517352817195</v>
      </c>
      <c r="O361" s="7">
        <v>2583</v>
      </c>
      <c r="Q361" s="3"/>
      <c r="R361" s="3"/>
      <c r="S361" s="6"/>
      <c r="T361" s="7"/>
      <c r="U361" s="7"/>
      <c r="V361" s="7"/>
      <c r="W361" s="7"/>
      <c r="X361" s="7"/>
      <c r="Y361" s="7"/>
      <c r="Z361" s="7"/>
      <c r="AA361" s="7"/>
      <c r="AB361" s="7"/>
      <c r="AC361" s="7"/>
      <c r="AD361" s="7"/>
      <c r="AE361" s="8"/>
      <c r="AF361" s="8"/>
      <c r="AG361" s="7"/>
    </row>
    <row r="362" spans="1:33" ht="19.7" customHeight="1" x14ac:dyDescent="0.25">
      <c r="A362" s="6">
        <v>42371</v>
      </c>
      <c r="B362" s="7">
        <f t="shared" ref="B362:B367" si="95">IF(SUM(C362:J362)="","",SUM(C362:J362))</f>
        <v>27458</v>
      </c>
      <c r="C362" s="7">
        <v>26978</v>
      </c>
      <c r="D362" s="7">
        <v>296</v>
      </c>
      <c r="E362" s="7">
        <v>179</v>
      </c>
      <c r="F362" s="7">
        <v>5</v>
      </c>
      <c r="G362" s="7">
        <v>0</v>
      </c>
      <c r="H362" s="7">
        <v>0</v>
      </c>
      <c r="I362" s="7">
        <v>0</v>
      </c>
      <c r="J362" s="7">
        <v>0</v>
      </c>
      <c r="K362" s="7">
        <f t="shared" ref="K362" si="96">IF(B362=0,"",B362-B310)</f>
        <v>-2996</v>
      </c>
      <c r="L362" s="7">
        <f t="shared" ref="L362" si="97">IF(C362=0,"",C362-C310)</f>
        <v>-2891</v>
      </c>
      <c r="M362" s="8">
        <f t="shared" ref="M362" si="98">IF(K362="","",B362/B310-1)</f>
        <v>-9.8377881394890676E-2</v>
      </c>
      <c r="N362" s="8">
        <f t="shared" ref="N362" si="99">IF(L362="","",C362/C310-1)</f>
        <v>-9.678931333489571E-2</v>
      </c>
      <c r="O362" s="7">
        <v>3031</v>
      </c>
      <c r="Q362" s="3"/>
      <c r="R362" s="3"/>
      <c r="S362" s="6"/>
      <c r="T362" s="7"/>
      <c r="U362" s="7"/>
      <c r="V362" s="7"/>
      <c r="W362" s="7"/>
      <c r="X362" s="7"/>
      <c r="Y362" s="7"/>
      <c r="Z362" s="7"/>
      <c r="AA362" s="7"/>
      <c r="AB362" s="7"/>
      <c r="AC362" s="7"/>
      <c r="AD362" s="7"/>
      <c r="AE362" s="8"/>
      <c r="AF362" s="8"/>
      <c r="AG362" s="7"/>
    </row>
    <row r="363" spans="1:33" ht="19.7" customHeight="1" x14ac:dyDescent="0.25">
      <c r="A363" s="6">
        <v>42378</v>
      </c>
      <c r="B363" s="7">
        <f t="shared" si="95"/>
        <v>28085</v>
      </c>
      <c r="C363" s="7">
        <v>27572</v>
      </c>
      <c r="D363" s="7">
        <v>344</v>
      </c>
      <c r="E363" s="7">
        <v>169</v>
      </c>
      <c r="F363" s="7">
        <v>0</v>
      </c>
      <c r="G363" s="7">
        <v>0</v>
      </c>
      <c r="H363" s="7">
        <v>0</v>
      </c>
      <c r="I363" s="7">
        <v>0</v>
      </c>
      <c r="J363" s="7">
        <v>0</v>
      </c>
      <c r="K363" s="7">
        <f t="shared" ref="K363" si="100">IF(B363=0,"",B363-B311)</f>
        <v>-2607</v>
      </c>
      <c r="L363" s="7">
        <f t="shared" ref="L363" si="101">IF(C363=0,"",C363-C311)</f>
        <v>-2529</v>
      </c>
      <c r="M363" s="8">
        <f t="shared" ref="M363" si="102">IF(K363="","",B363/B311-1)</f>
        <v>-8.4940701159911369E-2</v>
      </c>
      <c r="N363" s="8">
        <f t="shared" ref="N363" si="103">IF(L363="","",C363/C311-1)</f>
        <v>-8.4017142287631685E-2</v>
      </c>
      <c r="O363" s="7">
        <v>5595</v>
      </c>
      <c r="Q363" s="3"/>
      <c r="R363" s="3"/>
      <c r="S363" s="6"/>
      <c r="T363" s="7"/>
      <c r="U363" s="7"/>
      <c r="V363" s="7"/>
      <c r="W363" s="7"/>
      <c r="X363" s="7"/>
      <c r="Y363" s="7"/>
      <c r="Z363" s="7"/>
      <c r="AA363" s="7"/>
      <c r="AB363" s="7"/>
      <c r="AC363" s="7"/>
      <c r="AD363" s="7"/>
      <c r="AE363" s="8"/>
      <c r="AF363" s="8"/>
      <c r="AG363" s="7"/>
    </row>
    <row r="364" spans="1:33" ht="19.7" customHeight="1" x14ac:dyDescent="0.25">
      <c r="A364" s="6">
        <v>42385</v>
      </c>
      <c r="B364" s="7">
        <f t="shared" si="95"/>
        <v>28287</v>
      </c>
      <c r="C364" s="7">
        <v>27794</v>
      </c>
      <c r="D364" s="7">
        <v>304</v>
      </c>
      <c r="E364" s="7">
        <v>189</v>
      </c>
      <c r="F364" s="7">
        <v>0</v>
      </c>
      <c r="G364" s="7">
        <v>0</v>
      </c>
      <c r="H364" s="7">
        <v>0</v>
      </c>
      <c r="I364" s="7">
        <v>0</v>
      </c>
      <c r="J364" s="7">
        <v>0</v>
      </c>
      <c r="K364" s="7">
        <f t="shared" ref="K364" si="104">IF(B364=0,"",B364-B312)</f>
        <v>-2602</v>
      </c>
      <c r="L364" s="7">
        <f t="shared" ref="L364" si="105">IF(C364=0,"",C364-C312)</f>
        <v>-2491</v>
      </c>
      <c r="M364" s="8">
        <f t="shared" ref="M364" si="106">IF(K364="","",B364/B312-1)</f>
        <v>-8.4237107060765926E-2</v>
      </c>
      <c r="N364" s="8">
        <f t="shared" ref="N364" si="107">IF(L364="","",C364/C312-1)</f>
        <v>-8.2251939904243065E-2</v>
      </c>
      <c r="O364" s="7">
        <v>4671</v>
      </c>
      <c r="Q364" s="3"/>
      <c r="R364" s="3"/>
      <c r="S364" s="6"/>
      <c r="T364" s="7"/>
      <c r="U364" s="7"/>
      <c r="V364" s="7"/>
      <c r="W364" s="7"/>
      <c r="X364" s="7"/>
      <c r="Y364" s="7"/>
      <c r="Z364" s="7"/>
      <c r="AA364" s="7"/>
      <c r="AB364" s="7"/>
      <c r="AC364" s="7"/>
      <c r="AD364" s="7"/>
      <c r="AE364" s="8"/>
      <c r="AF364" s="8"/>
      <c r="AG364" s="7"/>
    </row>
    <row r="365" spans="1:33" ht="19.7" customHeight="1" x14ac:dyDescent="0.25">
      <c r="A365" s="6">
        <v>42392</v>
      </c>
      <c r="B365" s="7">
        <f t="shared" si="95"/>
        <v>27594</v>
      </c>
      <c r="C365" s="7">
        <v>27089</v>
      </c>
      <c r="D365" s="7">
        <v>330</v>
      </c>
      <c r="E365" s="7">
        <v>175</v>
      </c>
      <c r="F365" s="7">
        <v>0</v>
      </c>
      <c r="G365" s="7">
        <v>0</v>
      </c>
      <c r="H365" s="7">
        <v>0</v>
      </c>
      <c r="I365" s="7">
        <v>0</v>
      </c>
      <c r="J365" s="7">
        <v>0</v>
      </c>
      <c r="K365" s="7">
        <f t="shared" ref="K365" si="108">IF(B365=0,"",B365-B313)</f>
        <v>-2485</v>
      </c>
      <c r="L365" s="7">
        <f t="shared" ref="L365" si="109">IF(C365=0,"",C365-C313)</f>
        <v>-2456</v>
      </c>
      <c r="M365" s="8">
        <f t="shared" ref="M365" si="110">IF(K365="","",B365/B313-1)</f>
        <v>-8.2615778450081501E-2</v>
      </c>
      <c r="N365" s="8">
        <f t="shared" ref="N365" si="111">IF(L365="","",C365/C313-1)</f>
        <v>-8.312743272973433E-2</v>
      </c>
      <c r="O365" s="7">
        <v>4214</v>
      </c>
      <c r="Q365" s="3"/>
      <c r="R365" s="3"/>
      <c r="S365" s="6"/>
      <c r="T365" s="7"/>
      <c r="U365" s="7"/>
      <c r="V365" s="7"/>
      <c r="W365" s="7"/>
      <c r="X365" s="7"/>
      <c r="Y365" s="7"/>
      <c r="Z365" s="7"/>
      <c r="AA365" s="7"/>
      <c r="AB365" s="7"/>
      <c r="AC365" s="7"/>
      <c r="AD365" s="7"/>
      <c r="AE365" s="8"/>
      <c r="AF365" s="8"/>
      <c r="AG365" s="7"/>
    </row>
    <row r="366" spans="1:33" ht="19.7" customHeight="1" x14ac:dyDescent="0.25">
      <c r="A366" s="6">
        <v>42399</v>
      </c>
      <c r="B366" s="7">
        <f t="shared" si="95"/>
        <v>28362</v>
      </c>
      <c r="C366" s="7">
        <v>27908</v>
      </c>
      <c r="D366" s="7">
        <v>286</v>
      </c>
      <c r="E366" s="7">
        <v>168</v>
      </c>
      <c r="F366" s="7">
        <v>0</v>
      </c>
      <c r="G366" s="7">
        <v>0</v>
      </c>
      <c r="H366" s="7">
        <v>0</v>
      </c>
      <c r="I366" s="7">
        <v>0</v>
      </c>
      <c r="J366" s="7">
        <v>0</v>
      </c>
      <c r="K366" s="7">
        <f t="shared" ref="K366" si="112">IF(B366=0,"",B366-B314)</f>
        <v>-2547</v>
      </c>
      <c r="L366" s="7">
        <f t="shared" ref="L366" si="113">IF(C366=0,"",C366-C314)</f>
        <v>-2422</v>
      </c>
      <c r="M366" s="8">
        <f t="shared" ref="M366" si="114">IF(K366="","",B366/B314-1)</f>
        <v>-8.2403183538775071E-2</v>
      </c>
      <c r="N366" s="8">
        <f t="shared" ref="N366" si="115">IF(L366="","",C366/C314-1)</f>
        <v>-7.9854929113089335E-2</v>
      </c>
      <c r="O366" s="7">
        <v>4348</v>
      </c>
      <c r="Q366" s="3"/>
      <c r="R366" s="3"/>
      <c r="S366" s="6"/>
      <c r="T366" s="7"/>
      <c r="U366" s="7"/>
      <c r="V366" s="7"/>
      <c r="W366" s="7"/>
      <c r="X366" s="7"/>
      <c r="Y366" s="7"/>
      <c r="Z366" s="7"/>
      <c r="AA366" s="7"/>
      <c r="AB366" s="7"/>
      <c r="AC366" s="7"/>
      <c r="AD366" s="7"/>
      <c r="AE366" s="8"/>
      <c r="AF366" s="8"/>
      <c r="AG366" s="7"/>
    </row>
    <row r="367" spans="1:33" ht="19.7" customHeight="1" x14ac:dyDescent="0.25">
      <c r="A367" s="6">
        <v>42406</v>
      </c>
      <c r="B367" s="7">
        <f t="shared" si="95"/>
        <v>27723</v>
      </c>
      <c r="C367" s="7">
        <v>27270</v>
      </c>
      <c r="D367" s="7">
        <v>292</v>
      </c>
      <c r="E367" s="7">
        <v>161</v>
      </c>
      <c r="F367" s="7">
        <v>0</v>
      </c>
      <c r="G367" s="7">
        <v>0</v>
      </c>
      <c r="H367" s="7">
        <v>0</v>
      </c>
      <c r="I367" s="7">
        <v>0</v>
      </c>
      <c r="J367" s="7">
        <v>0</v>
      </c>
      <c r="K367" s="7">
        <f t="shared" ref="K367" si="116">IF(B367=0,"",B367-B315)</f>
        <v>-2358</v>
      </c>
      <c r="L367" s="7">
        <f t="shared" ref="L367" si="117">IF(C367=0,"",C367-C315)</f>
        <v>-2290</v>
      </c>
      <c r="M367" s="8">
        <f t="shared" ref="M367" si="118">IF(K367="","",B367/B315-1)</f>
        <v>-7.8388351451082028E-2</v>
      </c>
      <c r="N367" s="8">
        <f t="shared" ref="N367" si="119">IF(L367="","",C367/C315-1)</f>
        <v>-7.7469553450608908E-2</v>
      </c>
      <c r="O367" s="7">
        <v>4268</v>
      </c>
      <c r="Q367" s="3"/>
      <c r="R367" s="3"/>
      <c r="S367" s="6"/>
      <c r="T367" s="7"/>
      <c r="U367" s="7"/>
      <c r="V367" s="7"/>
      <c r="W367" s="7"/>
      <c r="X367" s="7"/>
      <c r="Y367" s="7"/>
      <c r="Z367" s="7"/>
      <c r="AA367" s="7"/>
      <c r="AB367" s="7"/>
      <c r="AC367" s="7"/>
      <c r="AD367" s="7"/>
      <c r="AE367" s="8"/>
      <c r="AF367" s="8"/>
      <c r="AG367" s="7"/>
    </row>
    <row r="368" spans="1:33" ht="19.7" customHeight="1" x14ac:dyDescent="0.25">
      <c r="A368" s="6">
        <v>42413</v>
      </c>
      <c r="B368" s="7">
        <f t="shared" ref="B368" si="120">IF(SUM(C368:J368)="","",SUM(C368:J368))</f>
        <v>27812</v>
      </c>
      <c r="C368" s="7">
        <v>27383</v>
      </c>
      <c r="D368" s="7">
        <v>280</v>
      </c>
      <c r="E368" s="7">
        <v>149</v>
      </c>
      <c r="F368" s="7">
        <v>0</v>
      </c>
      <c r="G368" s="7">
        <v>0</v>
      </c>
      <c r="H368" s="7">
        <v>0</v>
      </c>
      <c r="I368" s="7">
        <v>0</v>
      </c>
      <c r="J368" s="7">
        <v>0</v>
      </c>
      <c r="K368" s="7">
        <f t="shared" ref="K368" si="121">IF(B368=0,"",B368-B316)</f>
        <v>-1978</v>
      </c>
      <c r="L368" s="7">
        <f t="shared" ref="L368" si="122">IF(C368=0,"",C368-C316)</f>
        <v>-1888</v>
      </c>
      <c r="M368" s="8">
        <f t="shared" ref="M368" si="123">IF(K368="","",B368/B316-1)</f>
        <v>-6.6398120174555264E-2</v>
      </c>
      <c r="N368" s="8">
        <f t="shared" ref="N368" si="124">IF(L368="","",C368/C316-1)</f>
        <v>-6.4500700351884155E-2</v>
      </c>
      <c r="O368" s="7">
        <v>3579</v>
      </c>
      <c r="Q368" s="3"/>
      <c r="R368" s="3"/>
      <c r="S368" s="6"/>
      <c r="T368" s="7"/>
      <c r="U368" s="7"/>
      <c r="V368" s="7"/>
      <c r="W368" s="7"/>
      <c r="X368" s="7"/>
      <c r="Y368" s="7"/>
      <c r="Z368" s="7"/>
      <c r="AA368" s="7"/>
      <c r="AB368" s="7"/>
      <c r="AC368" s="7"/>
      <c r="AD368" s="7"/>
      <c r="AE368" s="8"/>
      <c r="AF368" s="8"/>
      <c r="AG368" s="7"/>
    </row>
    <row r="369" spans="1:33" ht="19.7" customHeight="1" x14ac:dyDescent="0.25">
      <c r="A369" s="6">
        <v>42420</v>
      </c>
      <c r="B369" s="7">
        <f t="shared" ref="B369" si="125">IF(SUM(C369:J369)="","",SUM(C369:J369))</f>
        <v>27189</v>
      </c>
      <c r="C369" s="7">
        <v>26726</v>
      </c>
      <c r="D369" s="7">
        <v>298</v>
      </c>
      <c r="E369" s="7">
        <v>165</v>
      </c>
      <c r="F369" s="7">
        <v>0</v>
      </c>
      <c r="G369" s="7">
        <v>0</v>
      </c>
      <c r="H369" s="7">
        <v>0</v>
      </c>
      <c r="I369" s="7">
        <v>0</v>
      </c>
      <c r="J369" s="7">
        <v>0</v>
      </c>
      <c r="K369" s="7">
        <f t="shared" ref="K369" si="126">IF(B369=0,"",B369-B317)</f>
        <v>-2025</v>
      </c>
      <c r="L369" s="7">
        <f t="shared" ref="L369" si="127">IF(C369=0,"",C369-C317)</f>
        <v>-2001</v>
      </c>
      <c r="M369" s="8">
        <f t="shared" ref="M369" si="128">IF(K369="","",B369/B317-1)</f>
        <v>-6.9316081330868751E-2</v>
      </c>
      <c r="N369" s="8">
        <f t="shared" ref="N369" si="129">IF(L369="","",C369/C317-1)</f>
        <v>-6.9655724579663736E-2</v>
      </c>
      <c r="O369" s="7">
        <v>3332</v>
      </c>
      <c r="Q369" s="3"/>
      <c r="R369" s="3"/>
      <c r="S369" s="6"/>
      <c r="T369" s="7"/>
      <c r="U369" s="7"/>
      <c r="V369" s="7"/>
      <c r="W369" s="7"/>
      <c r="X369" s="7"/>
      <c r="Y369" s="7"/>
      <c r="Z369" s="7"/>
      <c r="AA369" s="7"/>
      <c r="AB369" s="7"/>
      <c r="AC369" s="7"/>
      <c r="AD369" s="7"/>
      <c r="AE369" s="8"/>
      <c r="AF369" s="8"/>
      <c r="AG369" s="7"/>
    </row>
    <row r="370" spans="1:33" ht="19.7" customHeight="1" x14ac:dyDescent="0.25">
      <c r="A370" s="6">
        <v>42427</v>
      </c>
      <c r="B370" s="7">
        <f t="shared" ref="B370" si="130">IF(SUM(C370:J370)="","",SUM(C370:J370))</f>
        <v>27488</v>
      </c>
      <c r="C370" s="7">
        <v>27050</v>
      </c>
      <c r="D370" s="7">
        <v>277</v>
      </c>
      <c r="E370" s="7">
        <v>161</v>
      </c>
      <c r="F370" s="7">
        <v>0</v>
      </c>
      <c r="G370" s="7">
        <v>0</v>
      </c>
      <c r="H370" s="7">
        <v>0</v>
      </c>
      <c r="I370" s="7">
        <v>0</v>
      </c>
      <c r="J370" s="7">
        <v>0</v>
      </c>
      <c r="K370" s="7">
        <f t="shared" ref="K370" si="131">IF(B370=0,"",B370-B318)</f>
        <v>-1810</v>
      </c>
      <c r="L370" s="7">
        <f t="shared" ref="L370" si="132">IF(C370=0,"",C370-C318)</f>
        <v>-1710</v>
      </c>
      <c r="M370" s="8">
        <f t="shared" ref="M370" si="133">IF(K370="","",B370/B318-1)</f>
        <v>-6.177896102123015E-2</v>
      </c>
      <c r="N370" s="8">
        <f t="shared" ref="N370" si="134">IF(L370="","",C370/C318-1)</f>
        <v>-5.9457579972183594E-2</v>
      </c>
      <c r="O370" s="7">
        <v>3641</v>
      </c>
      <c r="Q370" s="3"/>
      <c r="R370" s="3"/>
      <c r="S370" s="6"/>
      <c r="T370" s="7"/>
      <c r="U370" s="7"/>
      <c r="V370" s="7"/>
      <c r="W370" s="7"/>
      <c r="X370" s="7"/>
      <c r="Y370" s="7"/>
      <c r="Z370" s="7"/>
      <c r="AA370" s="7"/>
      <c r="AB370" s="7"/>
      <c r="AC370" s="7"/>
      <c r="AD370" s="7"/>
      <c r="AE370" s="8"/>
      <c r="AF370" s="8"/>
      <c r="AG370" s="7"/>
    </row>
    <row r="371" spans="1:33" ht="19.7" customHeight="1" x14ac:dyDescent="0.25">
      <c r="A371" s="6">
        <v>42434</v>
      </c>
      <c r="B371" s="7">
        <f t="shared" ref="B371" si="135">IF(SUM(C371:J371)="","",SUM(C371:J371))</f>
        <v>26898</v>
      </c>
      <c r="C371" s="7">
        <v>26439</v>
      </c>
      <c r="D371" s="7">
        <v>290</v>
      </c>
      <c r="E371" s="7">
        <v>169</v>
      </c>
      <c r="F371" s="7">
        <v>0</v>
      </c>
      <c r="G371" s="7">
        <v>0</v>
      </c>
      <c r="H371" s="7">
        <v>0</v>
      </c>
      <c r="I371" s="7">
        <v>0</v>
      </c>
      <c r="J371" s="7">
        <v>0</v>
      </c>
      <c r="K371" s="7">
        <f t="shared" ref="K371" si="136">IF(B371=0,"",B371-B319)</f>
        <v>-1929</v>
      </c>
      <c r="L371" s="7">
        <f t="shared" ref="L371" si="137">IF(C371=0,"",C371-C319)</f>
        <v>-1911</v>
      </c>
      <c r="M371" s="8">
        <f t="shared" ref="M371" si="138">IF(K371="","",B371/B319-1)</f>
        <v>-6.6916432511187396E-2</v>
      </c>
      <c r="N371" s="8">
        <f t="shared" ref="N371" si="139">IF(L371="","",C371/C319-1)</f>
        <v>-6.740740740740736E-2</v>
      </c>
      <c r="O371" s="7">
        <v>3914</v>
      </c>
      <c r="Q371" s="3"/>
      <c r="R371" s="3"/>
      <c r="S371" s="6"/>
      <c r="T371" s="7"/>
      <c r="U371" s="7"/>
      <c r="V371" s="7"/>
      <c r="W371" s="7"/>
      <c r="X371" s="7"/>
      <c r="Y371" s="7"/>
      <c r="Z371" s="7"/>
      <c r="AA371" s="7"/>
      <c r="AB371" s="7"/>
      <c r="AC371" s="7"/>
      <c r="AD371" s="7"/>
      <c r="AE371" s="8"/>
      <c r="AF371" s="8"/>
      <c r="AG371" s="7"/>
    </row>
    <row r="372" spans="1:33" ht="19.7" customHeight="1" x14ac:dyDescent="0.25">
      <c r="A372" s="6">
        <v>42441</v>
      </c>
      <c r="B372" s="7">
        <f t="shared" ref="B372" si="140">IF(SUM(C372:J372)="","",SUM(C372:J372))</f>
        <v>26883</v>
      </c>
      <c r="C372" s="7">
        <v>26504</v>
      </c>
      <c r="D372" s="7">
        <v>227</v>
      </c>
      <c r="E372" s="7">
        <v>152</v>
      </c>
      <c r="F372" s="7">
        <v>0</v>
      </c>
      <c r="G372" s="7">
        <v>0</v>
      </c>
      <c r="H372" s="7">
        <v>0</v>
      </c>
      <c r="I372" s="7">
        <v>0</v>
      </c>
      <c r="J372" s="7">
        <v>0</v>
      </c>
      <c r="K372" s="7">
        <f t="shared" ref="K372" si="141">IF(B372=0,"",B372-B320)</f>
        <v>-2344</v>
      </c>
      <c r="L372" s="7">
        <f t="shared" ref="L372" si="142">IF(C372=0,"",C372-C320)</f>
        <v>-2215</v>
      </c>
      <c r="M372" s="8">
        <f t="shared" ref="M372" si="143">IF(K372="","",B372/B320-1)</f>
        <v>-8.0199815239333505E-2</v>
      </c>
      <c r="N372" s="8">
        <f t="shared" ref="N372" si="144">IF(L372="","",C372/C320-1)</f>
        <v>-7.7126640899752741E-2</v>
      </c>
      <c r="O372" s="7">
        <v>3767</v>
      </c>
      <c r="Q372" s="3"/>
      <c r="R372" s="3"/>
      <c r="S372" s="6"/>
      <c r="T372" s="7"/>
      <c r="U372" s="7"/>
      <c r="V372" s="7"/>
      <c r="W372" s="7"/>
      <c r="X372" s="7"/>
      <c r="Y372" s="7"/>
      <c r="Z372" s="7"/>
      <c r="AA372" s="7"/>
      <c r="AB372" s="7"/>
      <c r="AC372" s="7"/>
      <c r="AD372" s="7"/>
      <c r="AE372" s="8"/>
      <c r="AF372" s="8"/>
      <c r="AG372" s="7"/>
    </row>
    <row r="373" spans="1:33" ht="19.7" customHeight="1" x14ac:dyDescent="0.25">
      <c r="A373" s="6">
        <v>42448</v>
      </c>
      <c r="B373" s="7">
        <f t="shared" ref="B373" si="145">IF(SUM(C373:J373)="","",SUM(C373:J373))</f>
        <v>26628</v>
      </c>
      <c r="C373" s="7">
        <v>26230</v>
      </c>
      <c r="D373" s="7">
        <v>248</v>
      </c>
      <c r="E373" s="7">
        <v>150</v>
      </c>
      <c r="F373" s="7">
        <v>0</v>
      </c>
      <c r="G373" s="7">
        <v>0</v>
      </c>
      <c r="H373" s="7">
        <v>0</v>
      </c>
      <c r="I373" s="7">
        <v>0</v>
      </c>
      <c r="J373" s="7">
        <v>0</v>
      </c>
      <c r="K373" s="7">
        <f t="shared" ref="K373" si="146">IF(B373=0,"",B373-B321)</f>
        <v>-2550</v>
      </c>
      <c r="L373" s="7">
        <f t="shared" ref="L373" si="147">IF(C373=0,"",C373-C321)</f>
        <v>-2497</v>
      </c>
      <c r="M373" s="8">
        <f t="shared" ref="M373" si="148">IF(K373="","",B373/B321-1)</f>
        <v>-8.7394612379189773E-2</v>
      </c>
      <c r="N373" s="8">
        <f t="shared" ref="N373" si="149">IF(L373="","",C373/C321-1)</f>
        <v>-8.6921711282069158E-2</v>
      </c>
      <c r="O373" s="7">
        <v>3658</v>
      </c>
      <c r="Q373" s="3"/>
      <c r="R373" s="3"/>
      <c r="S373" s="6"/>
      <c r="T373" s="7"/>
      <c r="U373" s="7"/>
      <c r="V373" s="7"/>
      <c r="W373" s="7"/>
      <c r="X373" s="7"/>
      <c r="Y373" s="7"/>
      <c r="Z373" s="7"/>
      <c r="AA373" s="7"/>
      <c r="AB373" s="7"/>
      <c r="AC373" s="7"/>
      <c r="AD373" s="7"/>
      <c r="AE373" s="8"/>
      <c r="AF373" s="8"/>
      <c r="AG373" s="7"/>
    </row>
    <row r="374" spans="1:33" ht="19.7" customHeight="1" x14ac:dyDescent="0.25">
      <c r="A374" s="6">
        <v>42455</v>
      </c>
      <c r="B374" s="7">
        <f t="shared" ref="B374" si="150">IF(SUM(C374:J374)="","",SUM(C374:J374))</f>
        <v>26512</v>
      </c>
      <c r="C374" s="7">
        <v>26138</v>
      </c>
      <c r="D374" s="7">
        <v>211</v>
      </c>
      <c r="E374" s="7">
        <v>163</v>
      </c>
      <c r="F374" s="7">
        <v>0</v>
      </c>
      <c r="G374" s="7">
        <v>0</v>
      </c>
      <c r="H374" s="7">
        <v>0</v>
      </c>
      <c r="I374" s="7">
        <v>0</v>
      </c>
      <c r="J374" s="7">
        <v>0</v>
      </c>
      <c r="K374" s="7">
        <f t="shared" ref="K374" si="151">IF(B374=0,"",B374-B322)</f>
        <v>-2800</v>
      </c>
      <c r="L374" s="7">
        <f t="shared" ref="L374" si="152">IF(C374=0,"",C374-C322)</f>
        <v>-2664</v>
      </c>
      <c r="M374" s="8">
        <f t="shared" ref="M374" si="153">IF(K374="","",B374/B322-1)</f>
        <v>-9.5524017467248923E-2</v>
      </c>
      <c r="N374" s="8">
        <f t="shared" ref="N374" si="154">IF(L374="","",C374/C322-1)</f>
        <v>-9.2493576834941971E-2</v>
      </c>
      <c r="O374" s="7">
        <v>3978</v>
      </c>
      <c r="Q374" s="3"/>
      <c r="R374" s="3"/>
      <c r="S374" s="6"/>
      <c r="T374" s="7"/>
      <c r="U374" s="7"/>
      <c r="V374" s="7"/>
      <c r="W374" s="7"/>
      <c r="X374" s="7"/>
      <c r="Y374" s="7"/>
      <c r="Z374" s="7"/>
      <c r="AA374" s="7"/>
      <c r="AB374" s="7"/>
      <c r="AC374" s="7"/>
      <c r="AD374" s="7"/>
      <c r="AE374" s="8"/>
      <c r="AF374" s="8"/>
      <c r="AG374" s="7"/>
    </row>
    <row r="375" spans="1:33" ht="19.7" customHeight="1" x14ac:dyDescent="0.25">
      <c r="A375" s="6">
        <v>42462</v>
      </c>
      <c r="B375" s="7">
        <f t="shared" ref="B375" si="155">IF(SUM(C375:J375)="","",SUM(C375:J375))</f>
        <v>26651</v>
      </c>
      <c r="C375" s="7">
        <v>26281</v>
      </c>
      <c r="D375" s="7">
        <v>225</v>
      </c>
      <c r="E375" s="7">
        <v>145</v>
      </c>
      <c r="F375" s="7">
        <v>0</v>
      </c>
      <c r="G375" s="7">
        <v>0</v>
      </c>
      <c r="H375" s="7">
        <v>0</v>
      </c>
      <c r="I375" s="7">
        <v>0</v>
      </c>
      <c r="J375" s="7">
        <v>0</v>
      </c>
      <c r="K375" s="7">
        <f t="shared" ref="K375" si="156">IF(B375=0,"",B375-B323)</f>
        <v>-2468</v>
      </c>
      <c r="L375" s="7">
        <f t="shared" ref="L375" si="157">IF(C375=0,"",C375-C323)</f>
        <v>-2404</v>
      </c>
      <c r="M375" s="8">
        <f t="shared" ref="M375" si="158">IF(K375="","",B375/B323-1)</f>
        <v>-8.4755657817919605E-2</v>
      </c>
      <c r="N375" s="8">
        <f t="shared" ref="N375" si="159">IF(L375="","",C375/C323-1)</f>
        <v>-8.3806867700888965E-2</v>
      </c>
      <c r="O375" s="7">
        <v>4507</v>
      </c>
      <c r="Q375" s="3"/>
      <c r="R375" s="3"/>
      <c r="S375" s="6"/>
      <c r="T375" s="7"/>
      <c r="U375" s="7"/>
      <c r="V375" s="7"/>
      <c r="W375" s="7"/>
      <c r="X375" s="7"/>
      <c r="Y375" s="7"/>
      <c r="Z375" s="7"/>
      <c r="AA375" s="7"/>
      <c r="AB375" s="7"/>
      <c r="AC375" s="7"/>
      <c r="AD375" s="7"/>
      <c r="AE375" s="8"/>
      <c r="AF375" s="8"/>
      <c r="AG375" s="7"/>
    </row>
    <row r="376" spans="1:33" ht="19.7" customHeight="1" x14ac:dyDescent="0.25">
      <c r="A376" s="6">
        <v>42469</v>
      </c>
      <c r="B376" s="7">
        <f t="shared" ref="B376" si="160">IF(SUM(C376:J376)="","",SUM(C376:J376))</f>
        <v>26989</v>
      </c>
      <c r="C376" s="7">
        <v>26670</v>
      </c>
      <c r="D376" s="7">
        <v>185</v>
      </c>
      <c r="E376" s="7">
        <v>134</v>
      </c>
      <c r="F376" s="7">
        <v>0</v>
      </c>
      <c r="G376" s="7">
        <v>0</v>
      </c>
      <c r="H376" s="7">
        <v>0</v>
      </c>
      <c r="I376" s="7">
        <v>0</v>
      </c>
      <c r="J376" s="7">
        <v>0</v>
      </c>
      <c r="K376" s="7">
        <f t="shared" ref="K376" si="161">IF(B376=0,"",B376-B324)</f>
        <v>-2768</v>
      </c>
      <c r="L376" s="7">
        <f t="shared" ref="L376" si="162">IF(C376=0,"",C376-C324)</f>
        <v>-2657</v>
      </c>
      <c r="M376" s="8">
        <f t="shared" ref="M376" si="163">IF(K376="","",B376/B324-1)</f>
        <v>-9.3020129717377387E-2</v>
      </c>
      <c r="N376" s="8">
        <f t="shared" ref="N376" si="164">IF(L376="","",C376/C324-1)</f>
        <v>-9.0599106625294135E-2</v>
      </c>
      <c r="O376" s="7">
        <v>7003</v>
      </c>
      <c r="Q376" s="3"/>
      <c r="R376" s="3"/>
      <c r="S376" s="6"/>
      <c r="T376" s="7"/>
      <c r="U376" s="7"/>
      <c r="V376" s="7"/>
      <c r="W376" s="7"/>
      <c r="X376" s="7"/>
      <c r="Y376" s="7"/>
      <c r="Z376" s="7"/>
      <c r="AA376" s="7"/>
      <c r="AB376" s="7"/>
      <c r="AC376" s="7"/>
      <c r="AD376" s="7"/>
      <c r="AE376" s="8"/>
      <c r="AF376" s="8"/>
      <c r="AG376" s="7"/>
    </row>
    <row r="377" spans="1:33" ht="19.7" customHeight="1" x14ac:dyDescent="0.25">
      <c r="A377" s="6">
        <v>42476</v>
      </c>
      <c r="B377" s="7">
        <f t="shared" ref="B377" si="165">IF(SUM(C377:J377)="","",SUM(C377:J377))</f>
        <v>29256</v>
      </c>
      <c r="C377" s="7">
        <v>28940</v>
      </c>
      <c r="D377" s="7">
        <v>181</v>
      </c>
      <c r="E377" s="7">
        <v>135</v>
      </c>
      <c r="F377" s="7">
        <v>0</v>
      </c>
      <c r="G377" s="7">
        <v>0</v>
      </c>
      <c r="H377" s="7">
        <v>0</v>
      </c>
      <c r="I377" s="7">
        <v>0</v>
      </c>
      <c r="J377" s="7">
        <v>0</v>
      </c>
      <c r="K377" s="7">
        <f t="shared" ref="K377" si="166">IF(B377=0,"",B377-B325)</f>
        <v>-2949</v>
      </c>
      <c r="L377" s="7">
        <f t="shared" ref="L377" si="167">IF(C377=0,"",C377-C325)</f>
        <v>-2866</v>
      </c>
      <c r="M377" s="8">
        <f t="shared" ref="M377" si="168">IF(K377="","",B377/B325-1)</f>
        <v>-9.1569632044713578E-2</v>
      </c>
      <c r="N377" s="8">
        <f t="shared" ref="N377" si="169">IF(L377="","",C377/C325-1)</f>
        <v>-9.0108784506068074E-2</v>
      </c>
      <c r="O377" s="7">
        <v>5828</v>
      </c>
      <c r="Q377" s="3"/>
      <c r="R377" s="3"/>
      <c r="S377" s="6"/>
      <c r="T377" s="7"/>
      <c r="U377" s="7"/>
      <c r="V377" s="7"/>
      <c r="W377" s="7"/>
      <c r="X377" s="7"/>
      <c r="Y377" s="7"/>
      <c r="Z377" s="7"/>
      <c r="AA377" s="7"/>
      <c r="AB377" s="7"/>
      <c r="AC377" s="7"/>
      <c r="AD377" s="7"/>
      <c r="AE377" s="8"/>
      <c r="AF377" s="8"/>
      <c r="AG377" s="7"/>
    </row>
    <row r="378" spans="1:33" ht="19.7" customHeight="1" x14ac:dyDescent="0.25">
      <c r="A378" s="6">
        <v>42483</v>
      </c>
      <c r="B378" s="7">
        <f t="shared" ref="B378" si="170">IF(SUM(C378:J378)="","",SUM(C378:J378))</f>
        <v>30989</v>
      </c>
      <c r="C378" s="7">
        <v>30693</v>
      </c>
      <c r="D378" s="7">
        <v>158</v>
      </c>
      <c r="E378" s="7">
        <v>138</v>
      </c>
      <c r="F378" s="7">
        <v>0</v>
      </c>
      <c r="G378" s="7">
        <v>0</v>
      </c>
      <c r="H378" s="7">
        <v>0</v>
      </c>
      <c r="I378" s="7">
        <v>0</v>
      </c>
      <c r="J378" s="7">
        <v>0</v>
      </c>
      <c r="K378" s="7">
        <f t="shared" ref="K378" si="171">IF(B378=0,"",B378-B326)</f>
        <v>-2756</v>
      </c>
      <c r="L378" s="7">
        <f t="shared" ref="L378" si="172">IF(C378=0,"",C378-C326)</f>
        <v>-2674</v>
      </c>
      <c r="M378" s="8">
        <f t="shared" ref="M378" si="173">IF(K378="","",B378/B326-1)</f>
        <v>-8.167135871981035E-2</v>
      </c>
      <c r="N378" s="8">
        <f t="shared" ref="N378" si="174">IF(L378="","",C378/C326-1)</f>
        <v>-8.0139059549854674E-2</v>
      </c>
      <c r="O378" s="7">
        <v>6083</v>
      </c>
      <c r="Q378" s="3"/>
      <c r="R378" s="3"/>
      <c r="S378" s="6"/>
      <c r="T378" s="7"/>
      <c r="U378" s="7"/>
      <c r="V378" s="7"/>
      <c r="W378" s="7"/>
      <c r="X378" s="7"/>
      <c r="Y378" s="7"/>
      <c r="Z378" s="7"/>
      <c r="AA378" s="7"/>
      <c r="AB378" s="7"/>
      <c r="AC378" s="7"/>
      <c r="AD378" s="7"/>
      <c r="AE378" s="8"/>
      <c r="AF378" s="8"/>
      <c r="AG378" s="7"/>
    </row>
    <row r="379" spans="1:33" ht="19.7" customHeight="1" x14ac:dyDescent="0.25">
      <c r="A379" s="6">
        <v>42490</v>
      </c>
      <c r="B379" s="7">
        <f t="shared" ref="B379:B384" si="175">IF(SUM(C379:J379)="","",SUM(C379:J379))</f>
        <v>32529</v>
      </c>
      <c r="C379" s="7">
        <v>32257</v>
      </c>
      <c r="D379" s="7">
        <v>147</v>
      </c>
      <c r="E379" s="7">
        <v>125</v>
      </c>
      <c r="F379" s="7">
        <v>0</v>
      </c>
      <c r="G379" s="7">
        <v>0</v>
      </c>
      <c r="H379" s="7">
        <v>0</v>
      </c>
      <c r="I379" s="7">
        <v>0</v>
      </c>
      <c r="J379" s="7">
        <v>0</v>
      </c>
      <c r="K379" s="7">
        <f>IF(B379=0,"",B379-B327)</f>
        <v>-1737</v>
      </c>
      <c r="L379" s="7">
        <f t="shared" ref="L379" si="176">IF(C379=0,"",C379-C327)</f>
        <v>-1653</v>
      </c>
      <c r="M379" s="8">
        <f t="shared" ref="M379" si="177">IF(K379="","",B379/B327-1)</f>
        <v>-5.0691647697426068E-2</v>
      </c>
      <c r="N379" s="8">
        <f t="shared" ref="N379" si="178">IF(L379="","",C379/C327-1)</f>
        <v>-4.8746682394573915E-2</v>
      </c>
      <c r="O379" s="7">
        <v>4751</v>
      </c>
      <c r="Q379" s="3"/>
      <c r="R379" s="3"/>
      <c r="S379" s="6"/>
      <c r="T379" s="7"/>
      <c r="U379" s="7"/>
      <c r="V379" s="7"/>
      <c r="W379" s="7"/>
      <c r="X379" s="7"/>
      <c r="Y379" s="7"/>
      <c r="Z379" s="7"/>
      <c r="AA379" s="7"/>
      <c r="AB379" s="7"/>
      <c r="AC379" s="7"/>
      <c r="AD379" s="7"/>
      <c r="AE379" s="8"/>
      <c r="AF379" s="8"/>
      <c r="AG379" s="7"/>
    </row>
    <row r="380" spans="1:33" ht="19.7" customHeight="1" x14ac:dyDescent="0.25">
      <c r="A380" s="6">
        <v>42497</v>
      </c>
      <c r="B380" s="7">
        <f t="shared" si="175"/>
        <v>33214</v>
      </c>
      <c r="C380" s="7">
        <v>32936</v>
      </c>
      <c r="D380" s="7">
        <v>136</v>
      </c>
      <c r="E380" s="7">
        <v>142</v>
      </c>
      <c r="F380" s="7">
        <v>0</v>
      </c>
      <c r="G380" s="7">
        <v>0</v>
      </c>
      <c r="H380" s="7">
        <v>0</v>
      </c>
      <c r="I380" s="7">
        <v>0</v>
      </c>
      <c r="J380" s="7">
        <v>0</v>
      </c>
      <c r="K380" s="7">
        <f t="shared" si="47"/>
        <v>-1031</v>
      </c>
      <c r="L380" s="7">
        <f t="shared" ref="L380:L385" si="179">IF(C380=0,"",C380-C328)</f>
        <v>-956</v>
      </c>
      <c r="M380" s="8">
        <f t="shared" si="49"/>
        <v>-3.010658490290552E-2</v>
      </c>
      <c r="N380" s="8">
        <f t="shared" si="50"/>
        <v>-2.8207246547857889E-2</v>
      </c>
      <c r="O380" s="12">
        <v>4572</v>
      </c>
      <c r="Q380" s="3"/>
      <c r="R380" s="3"/>
      <c r="S380" s="6"/>
      <c r="T380" s="7"/>
      <c r="U380" s="7"/>
      <c r="V380" s="7"/>
      <c r="W380" s="7"/>
      <c r="X380" s="7"/>
      <c r="Y380" s="7"/>
      <c r="Z380" s="7"/>
      <c r="AA380" s="7"/>
      <c r="AB380" s="7"/>
      <c r="AC380" s="7"/>
      <c r="AD380" s="7"/>
      <c r="AE380" s="8"/>
      <c r="AF380" s="8"/>
      <c r="AG380" s="12"/>
    </row>
    <row r="381" spans="1:33" ht="19.7" customHeight="1" x14ac:dyDescent="0.25">
      <c r="A381" s="6">
        <v>42504</v>
      </c>
      <c r="B381" s="7">
        <f t="shared" si="175"/>
        <v>32964</v>
      </c>
      <c r="C381" s="7">
        <v>32694</v>
      </c>
      <c r="D381" s="7">
        <v>132</v>
      </c>
      <c r="E381" s="7">
        <v>138</v>
      </c>
      <c r="F381" s="7">
        <v>0</v>
      </c>
      <c r="G381" s="7">
        <v>0</v>
      </c>
      <c r="H381" s="7">
        <v>0</v>
      </c>
      <c r="I381" s="7">
        <v>0</v>
      </c>
      <c r="J381" s="7">
        <v>0</v>
      </c>
      <c r="K381" s="7">
        <f t="shared" ref="K381" si="180">IF(B381=0,"",B381-B329)</f>
        <v>-1274</v>
      </c>
      <c r="L381" s="7">
        <f t="shared" si="179"/>
        <v>-1233</v>
      </c>
      <c r="M381" s="8">
        <f t="shared" ref="M381" si="181">IF(K381="","",B381/B329-1)</f>
        <v>-3.7210117413400301E-2</v>
      </c>
      <c r="N381" s="8">
        <f t="shared" ref="N381" si="182">IF(L381="","",C381/C329-1)</f>
        <v>-3.6342735874082543E-2</v>
      </c>
      <c r="O381" s="12">
        <v>4401</v>
      </c>
      <c r="Q381" s="3"/>
      <c r="R381" s="3"/>
      <c r="S381" s="6"/>
      <c r="T381" s="7"/>
      <c r="U381" s="7"/>
      <c r="V381" s="7"/>
      <c r="W381" s="7"/>
      <c r="X381" s="7"/>
      <c r="Y381" s="7"/>
      <c r="Z381" s="7"/>
      <c r="AA381" s="7"/>
      <c r="AB381" s="7"/>
      <c r="AC381" s="7"/>
      <c r="AD381" s="7"/>
      <c r="AE381" s="8"/>
      <c r="AF381" s="8"/>
      <c r="AG381" s="12"/>
    </row>
    <row r="382" spans="1:33" ht="19.7" customHeight="1" x14ac:dyDescent="0.25">
      <c r="A382" s="6">
        <v>42511</v>
      </c>
      <c r="B382" s="7">
        <f t="shared" si="175"/>
        <v>33485</v>
      </c>
      <c r="C382" s="7">
        <v>33215</v>
      </c>
      <c r="D382" s="7">
        <v>122</v>
      </c>
      <c r="E382" s="7">
        <v>148</v>
      </c>
      <c r="F382" s="7">
        <v>0</v>
      </c>
      <c r="G382" s="7">
        <v>0</v>
      </c>
      <c r="H382" s="7">
        <v>0</v>
      </c>
      <c r="I382" s="7">
        <v>0</v>
      </c>
      <c r="J382" s="7">
        <v>0</v>
      </c>
      <c r="K382" s="7">
        <f t="shared" ref="K382" si="183">IF(B382=0,"",B382-B330)</f>
        <v>-919</v>
      </c>
      <c r="L382" s="7">
        <f t="shared" si="179"/>
        <v>-849</v>
      </c>
      <c r="M382" s="8">
        <f t="shared" ref="M382" si="184">IF(K382="","",B382/B330-1)</f>
        <v>-2.6712010231368488E-2</v>
      </c>
      <c r="N382" s="8">
        <f t="shared" ref="N382" si="185">IF(L382="","",C382/C330-1)</f>
        <v>-2.4923673085955889E-2</v>
      </c>
      <c r="O382" s="12">
        <v>4400</v>
      </c>
      <c r="Q382" s="3"/>
      <c r="R382" s="3"/>
      <c r="S382" s="6"/>
      <c r="T382" s="7"/>
      <c r="U382" s="7"/>
      <c r="V382" s="7"/>
      <c r="W382" s="7"/>
      <c r="X382" s="7"/>
      <c r="Y382" s="7"/>
      <c r="Z382" s="7"/>
      <c r="AA382" s="7"/>
      <c r="AB382" s="7"/>
      <c r="AC382" s="7"/>
      <c r="AD382" s="7"/>
      <c r="AE382" s="8"/>
      <c r="AF382" s="8"/>
      <c r="AG382" s="12"/>
    </row>
    <row r="383" spans="1:33" ht="19.7" customHeight="1" x14ac:dyDescent="0.25">
      <c r="A383" s="6">
        <v>42518</v>
      </c>
      <c r="B383" s="7">
        <f t="shared" si="175"/>
        <v>33037</v>
      </c>
      <c r="C383" s="7">
        <v>32788</v>
      </c>
      <c r="D383" s="7">
        <v>116</v>
      </c>
      <c r="E383" s="7">
        <v>133</v>
      </c>
      <c r="F383" s="7">
        <v>0</v>
      </c>
      <c r="G383" s="7">
        <v>0</v>
      </c>
      <c r="H383" s="7">
        <v>0</v>
      </c>
      <c r="I383" s="7">
        <v>0</v>
      </c>
      <c r="J383" s="7">
        <v>0</v>
      </c>
      <c r="K383" s="7">
        <f t="shared" ref="K383" si="186">IF(B383=0,"",B383-B331)</f>
        <v>-1243</v>
      </c>
      <c r="L383" s="7">
        <f t="shared" si="179"/>
        <v>-1145</v>
      </c>
      <c r="M383" s="8">
        <f t="shared" ref="M383" si="187">IF(K383="","",B383/B331-1)</f>
        <v>-3.6260210035005791E-2</v>
      </c>
      <c r="N383" s="8">
        <f t="shared" ref="N383" si="188">IF(L383="","",C383/C331-1)</f>
        <v>-3.3742964076267978E-2</v>
      </c>
      <c r="O383" s="12">
        <v>5042</v>
      </c>
      <c r="Q383" s="3"/>
      <c r="R383" s="3"/>
      <c r="S383" s="6"/>
      <c r="T383" s="7"/>
      <c r="U383" s="7"/>
      <c r="V383" s="7"/>
      <c r="W383" s="7"/>
      <c r="X383" s="7"/>
      <c r="Y383" s="7"/>
      <c r="Z383" s="7"/>
      <c r="AA383" s="7"/>
      <c r="AB383" s="7"/>
      <c r="AC383" s="7"/>
      <c r="AD383" s="7"/>
      <c r="AE383" s="8"/>
      <c r="AF383" s="8"/>
      <c r="AG383" s="12"/>
    </row>
    <row r="384" spans="1:33" ht="19.7" customHeight="1" x14ac:dyDescent="0.25">
      <c r="A384" s="6">
        <v>42525</v>
      </c>
      <c r="B384" s="7">
        <f t="shared" si="175"/>
        <v>33687</v>
      </c>
      <c r="C384" s="7">
        <v>33380</v>
      </c>
      <c r="D384" s="7">
        <v>173</v>
      </c>
      <c r="E384" s="7">
        <v>134</v>
      </c>
      <c r="F384" s="7">
        <v>0</v>
      </c>
      <c r="G384" s="7">
        <v>0</v>
      </c>
      <c r="H384" s="7">
        <v>0</v>
      </c>
      <c r="I384" s="7">
        <v>0</v>
      </c>
      <c r="J384" s="7">
        <v>0</v>
      </c>
      <c r="K384" s="7">
        <f t="shared" ref="K384" si="189">IF(B384=0,"",B384-B332)</f>
        <v>-1854</v>
      </c>
      <c r="L384" s="7">
        <f t="shared" si="179"/>
        <v>-1725</v>
      </c>
      <c r="M384" s="8">
        <f t="shared" ref="M384" si="190">IF(K384="","",B384/B332-1)</f>
        <v>-5.2165105089896135E-2</v>
      </c>
      <c r="N384" s="8">
        <f t="shared" ref="N384" si="191">IF(L384="","",C384/C332-1)</f>
        <v>-4.9138299387551654E-2</v>
      </c>
      <c r="O384" s="12">
        <v>4862</v>
      </c>
      <c r="Q384" s="3"/>
      <c r="R384" s="3"/>
      <c r="S384" s="6"/>
      <c r="T384" s="7"/>
      <c r="U384" s="7"/>
      <c r="V384" s="7"/>
      <c r="W384" s="7"/>
      <c r="X384" s="7"/>
      <c r="Y384" s="7"/>
      <c r="Z384" s="7"/>
      <c r="AA384" s="7"/>
      <c r="AB384" s="7"/>
      <c r="AC384" s="7"/>
      <c r="AD384" s="7"/>
      <c r="AE384" s="8"/>
      <c r="AF384" s="8"/>
      <c r="AG384" s="12"/>
    </row>
    <row r="385" spans="1:33" ht="19.7" customHeight="1" x14ac:dyDescent="0.25">
      <c r="A385" s="6">
        <v>42532</v>
      </c>
      <c r="B385" s="7">
        <f t="shared" ref="B385" si="192">IF(SUM(C385:J385)="","",SUM(C385:J385))</f>
        <v>34378</v>
      </c>
      <c r="C385" s="7">
        <v>34011</v>
      </c>
      <c r="D385" s="7">
        <v>237</v>
      </c>
      <c r="E385" s="7">
        <v>130</v>
      </c>
      <c r="F385" s="7">
        <v>0</v>
      </c>
      <c r="G385" s="7">
        <v>0</v>
      </c>
      <c r="H385" s="7">
        <v>0</v>
      </c>
      <c r="I385" s="7">
        <v>0</v>
      </c>
      <c r="J385" s="7">
        <v>0</v>
      </c>
      <c r="K385" s="7">
        <f t="shared" ref="K385" si="193">IF(B385=0,"",B385-B333)</f>
        <v>-2008</v>
      </c>
      <c r="L385" s="7">
        <f t="shared" si="179"/>
        <v>-1897</v>
      </c>
      <c r="M385" s="8">
        <f t="shared" ref="M385" si="194">IF(K385="","",B385/B333-1)</f>
        <v>-5.5186060572747775E-2</v>
      </c>
      <c r="N385" s="8">
        <f t="shared" ref="N385" si="195">IF(L385="","",C385/C333-1)</f>
        <v>-5.2829453046674857E-2</v>
      </c>
      <c r="O385" s="12">
        <v>4758</v>
      </c>
      <c r="Q385" s="3"/>
      <c r="R385" s="3"/>
      <c r="S385" s="6"/>
      <c r="T385" s="7"/>
      <c r="U385" s="7"/>
      <c r="V385" s="7"/>
      <c r="W385" s="7"/>
      <c r="X385" s="7"/>
      <c r="Y385" s="7"/>
      <c r="Z385" s="7"/>
      <c r="AA385" s="7"/>
      <c r="AB385" s="7"/>
      <c r="AC385" s="7"/>
      <c r="AD385" s="7"/>
      <c r="AE385" s="8"/>
      <c r="AF385" s="8"/>
      <c r="AG385" s="12"/>
    </row>
    <row r="386" spans="1:33" ht="19.7" customHeight="1" x14ac:dyDescent="0.25">
      <c r="A386" s="6">
        <v>42539</v>
      </c>
      <c r="B386" s="7">
        <f t="shared" ref="B386" si="196">IF(SUM(C386:J386)="","",SUM(C386:J386))</f>
        <v>35235</v>
      </c>
      <c r="C386" s="7">
        <v>34864</v>
      </c>
      <c r="D386" s="7">
        <v>221</v>
      </c>
      <c r="E386" s="7">
        <v>150</v>
      </c>
      <c r="F386" s="7">
        <v>0</v>
      </c>
      <c r="G386" s="7">
        <v>0</v>
      </c>
      <c r="H386" s="7">
        <v>0</v>
      </c>
      <c r="I386" s="7">
        <v>0</v>
      </c>
      <c r="J386" s="7">
        <v>0</v>
      </c>
      <c r="K386" s="7">
        <f t="shared" ref="K386" si="197">IF(B386=0,"",B386-B334)</f>
        <v>-1656</v>
      </c>
      <c r="L386" s="7">
        <f t="shared" ref="L386" si="198">IF(C386=0,"",C386-C334)</f>
        <v>-1518</v>
      </c>
      <c r="M386" s="8">
        <f t="shared" ref="M386" si="199">IF(K386="","",B386/B334-1)</f>
        <v>-4.48889973164186E-2</v>
      </c>
      <c r="N386" s="8">
        <f t="shared" ref="N386" si="200">IF(L386="","",C386/C334-1)</f>
        <v>-4.1723929415645067E-2</v>
      </c>
      <c r="O386" s="12">
        <v>4459</v>
      </c>
      <c r="Q386" s="3"/>
      <c r="R386" s="3"/>
      <c r="S386" s="6"/>
      <c r="T386" s="7"/>
      <c r="U386" s="7"/>
      <c r="V386" s="7"/>
      <c r="W386" s="7"/>
      <c r="X386" s="7"/>
      <c r="Y386" s="7"/>
      <c r="Z386" s="7"/>
      <c r="AA386" s="7"/>
      <c r="AB386" s="7"/>
      <c r="AC386" s="7"/>
      <c r="AD386" s="7"/>
      <c r="AE386" s="8"/>
      <c r="AF386" s="8"/>
      <c r="AG386" s="12"/>
    </row>
    <row r="387" spans="1:33" ht="19.7" customHeight="1" x14ac:dyDescent="0.25">
      <c r="A387" s="6">
        <v>42546</v>
      </c>
      <c r="B387" s="7">
        <f t="shared" ref="B387" si="201">IF(SUM(C387:J387)="","",SUM(C387:J387))</f>
        <v>34912</v>
      </c>
      <c r="C387" s="7">
        <v>34531</v>
      </c>
      <c r="D387" s="7">
        <v>240</v>
      </c>
      <c r="E387" s="7">
        <v>141</v>
      </c>
      <c r="F387" s="7">
        <v>0</v>
      </c>
      <c r="G387" s="7">
        <v>0</v>
      </c>
      <c r="H387" s="7">
        <v>0</v>
      </c>
      <c r="I387" s="7">
        <v>0</v>
      </c>
      <c r="J387" s="7">
        <v>0</v>
      </c>
      <c r="K387" s="7">
        <f t="shared" ref="K387" si="202">IF(B387=0,"",B387-B335)</f>
        <v>-1889</v>
      </c>
      <c r="L387" s="7">
        <f t="shared" ref="L387" si="203">IF(C387=0,"",C387-C335)</f>
        <v>-1765</v>
      </c>
      <c r="M387" s="8">
        <f t="shared" ref="M387" si="204">IF(K387="","",B387/B335-1)</f>
        <v>-5.1330126898725625E-2</v>
      </c>
      <c r="N387" s="8">
        <f t="shared" ref="N387" si="205">IF(L387="","",C387/C335-1)</f>
        <v>-4.8627947983248876E-2</v>
      </c>
      <c r="O387" s="12">
        <v>4663</v>
      </c>
      <c r="Q387" s="3"/>
      <c r="R387" s="3"/>
      <c r="S387" s="6"/>
      <c r="T387" s="7"/>
      <c r="U387" s="7"/>
      <c r="V387" s="7"/>
      <c r="W387" s="7"/>
      <c r="X387" s="7"/>
      <c r="Y387" s="7"/>
      <c r="Z387" s="7"/>
      <c r="AA387" s="7"/>
      <c r="AB387" s="7"/>
      <c r="AC387" s="7"/>
      <c r="AD387" s="7"/>
      <c r="AE387" s="8"/>
      <c r="AF387" s="8"/>
      <c r="AG387" s="12"/>
    </row>
    <row r="388" spans="1:33" ht="19.7" customHeight="1" x14ac:dyDescent="0.25">
      <c r="A388" s="6">
        <v>42553</v>
      </c>
      <c r="B388" s="7">
        <f t="shared" ref="B388" si="206">IF(SUM(C388:J388)="","",SUM(C388:J388))</f>
        <v>35685</v>
      </c>
      <c r="C388" s="7">
        <v>35311</v>
      </c>
      <c r="D388" s="7">
        <v>234</v>
      </c>
      <c r="E388" s="7">
        <v>140</v>
      </c>
      <c r="F388" s="7">
        <v>0</v>
      </c>
      <c r="G388" s="7">
        <v>0</v>
      </c>
      <c r="H388" s="7">
        <v>0</v>
      </c>
      <c r="I388" s="7">
        <v>0</v>
      </c>
      <c r="J388" s="7">
        <v>0</v>
      </c>
      <c r="K388" s="7">
        <f t="shared" ref="K388" si="207">IF(B388=0,"",B388-B336)</f>
        <v>80</v>
      </c>
      <c r="L388" s="7">
        <f t="shared" ref="L388" si="208">IF(C388=0,"",C388-C336)</f>
        <v>187</v>
      </c>
      <c r="M388" s="8">
        <f t="shared" ref="M388" si="209">IF(K388="","",B388/B336-1)</f>
        <v>2.2468754388429435E-3</v>
      </c>
      <c r="N388" s="8">
        <f t="shared" ref="N388" si="210">IF(L388="","",C388/C336-1)</f>
        <v>5.3239949891812355E-3</v>
      </c>
      <c r="O388" s="12">
        <v>5398</v>
      </c>
      <c r="Q388" s="3"/>
      <c r="R388" s="3"/>
      <c r="S388" s="6"/>
      <c r="T388" s="7"/>
      <c r="U388" s="7"/>
      <c r="V388" s="7"/>
      <c r="W388" s="7"/>
      <c r="X388" s="7"/>
      <c r="Y388" s="7"/>
      <c r="Z388" s="7"/>
      <c r="AA388" s="7"/>
      <c r="AB388" s="7"/>
      <c r="AC388" s="7"/>
      <c r="AD388" s="7"/>
      <c r="AE388" s="8"/>
      <c r="AF388" s="8"/>
      <c r="AG388" s="12"/>
    </row>
    <row r="389" spans="1:33" ht="19.7" customHeight="1" x14ac:dyDescent="0.25">
      <c r="A389" s="6">
        <v>42560</v>
      </c>
      <c r="B389" s="7">
        <f t="shared" ref="B389" si="211">IF(SUM(C389:J389)="","",SUM(C389:J389))</f>
        <v>35300</v>
      </c>
      <c r="C389" s="7">
        <v>34936</v>
      </c>
      <c r="D389" s="7">
        <v>231</v>
      </c>
      <c r="E389" s="7">
        <v>133</v>
      </c>
      <c r="F389" s="7">
        <v>0</v>
      </c>
      <c r="G389" s="7">
        <v>0</v>
      </c>
      <c r="H389" s="7">
        <v>0</v>
      </c>
      <c r="I389" s="7">
        <v>0</v>
      </c>
      <c r="J389" s="7">
        <v>0</v>
      </c>
      <c r="K389" s="7">
        <f t="shared" ref="K389" si="212">IF(B389=0,"",B389-B337)</f>
        <v>-3244</v>
      </c>
      <c r="L389" s="7">
        <f t="shared" ref="L389" si="213">IF(C389=0,"",C389-C337)</f>
        <v>-3047</v>
      </c>
      <c r="M389" s="8">
        <f t="shared" ref="M389" si="214">IF(K389="","",B389/B337-1)</f>
        <v>-8.41635533416355E-2</v>
      </c>
      <c r="N389" s="8">
        <f t="shared" ref="N389" si="215">IF(L389="","",C389/C337-1)</f>
        <v>-8.0220098465102807E-2</v>
      </c>
      <c r="O389" s="12">
        <v>6453</v>
      </c>
      <c r="Q389" s="3"/>
      <c r="R389" s="3"/>
      <c r="S389" s="6"/>
      <c r="T389" s="7"/>
      <c r="U389" s="7"/>
      <c r="V389" s="7"/>
      <c r="W389" s="7"/>
      <c r="X389" s="7"/>
      <c r="Y389" s="7"/>
      <c r="Z389" s="7"/>
      <c r="AA389" s="7"/>
      <c r="AB389" s="7"/>
      <c r="AC389" s="7"/>
      <c r="AD389" s="7"/>
      <c r="AE389" s="8"/>
      <c r="AF389" s="8"/>
      <c r="AG389" s="12"/>
    </row>
    <row r="390" spans="1:33" ht="19.7" customHeight="1" x14ac:dyDescent="0.25">
      <c r="A390" s="6">
        <v>42567</v>
      </c>
      <c r="B390" s="7">
        <f t="shared" ref="B390" si="216">IF(SUM(C390:J390)="","",SUM(C390:J390))</f>
        <v>38318</v>
      </c>
      <c r="C390" s="7">
        <v>37909</v>
      </c>
      <c r="D390" s="7">
        <v>269</v>
      </c>
      <c r="E390" s="7">
        <v>140</v>
      </c>
      <c r="F390" s="7">
        <v>0</v>
      </c>
      <c r="G390" s="7">
        <v>0</v>
      </c>
      <c r="H390" s="7">
        <v>0</v>
      </c>
      <c r="I390" s="7">
        <v>0</v>
      </c>
      <c r="J390" s="7">
        <v>0</v>
      </c>
      <c r="K390" s="7">
        <f t="shared" ref="K390" si="217">IF(B390=0,"",B390-B338)</f>
        <v>-1353</v>
      </c>
      <c r="L390" s="7">
        <f t="shared" ref="L390" si="218">IF(C390=0,"",C390-C338)</f>
        <v>-1196</v>
      </c>
      <c r="M390" s="8">
        <f t="shared" ref="M390" si="219">IF(K390="","",B390/B338-1)</f>
        <v>-3.4105517884600811E-2</v>
      </c>
      <c r="N390" s="8">
        <f t="shared" ref="N390" si="220">IF(L390="","",C390/C338-1)</f>
        <v>-3.0584324255210293E-2</v>
      </c>
      <c r="O390" s="12">
        <v>5408</v>
      </c>
      <c r="Q390" s="3"/>
      <c r="R390" s="3"/>
      <c r="S390" s="6"/>
      <c r="T390" s="7"/>
      <c r="U390" s="7"/>
      <c r="V390" s="7"/>
      <c r="W390" s="7"/>
      <c r="X390" s="7"/>
      <c r="Y390" s="7"/>
      <c r="Z390" s="7"/>
      <c r="AA390" s="7"/>
      <c r="AB390" s="7"/>
      <c r="AC390" s="7"/>
      <c r="AD390" s="7"/>
      <c r="AE390" s="8"/>
      <c r="AF390" s="8"/>
      <c r="AG390" s="12"/>
    </row>
    <row r="391" spans="1:33" ht="19.7" customHeight="1" x14ac:dyDescent="0.25">
      <c r="A391" s="6">
        <v>42574</v>
      </c>
      <c r="B391" s="7">
        <f t="shared" ref="B391" si="221">IF(SUM(C391:J391)="","",SUM(C391:J391))</f>
        <v>38642</v>
      </c>
      <c r="C391" s="7">
        <v>38219</v>
      </c>
      <c r="D391" s="7">
        <v>268</v>
      </c>
      <c r="E391" s="7">
        <v>155</v>
      </c>
      <c r="F391" s="7">
        <v>0</v>
      </c>
      <c r="G391" s="7">
        <v>0</v>
      </c>
      <c r="H391" s="7">
        <v>0</v>
      </c>
      <c r="I391" s="7">
        <v>0</v>
      </c>
      <c r="J391" s="7">
        <v>0</v>
      </c>
      <c r="K391" s="7">
        <f t="shared" ref="K391" si="222">IF(B391=0,"",B391-B339)</f>
        <v>-1928</v>
      </c>
      <c r="L391" s="7">
        <f t="shared" ref="L391" si="223">IF(C391=0,"",C391-C339)</f>
        <v>-1767</v>
      </c>
      <c r="M391" s="8">
        <f t="shared" ref="M391" si="224">IF(K391="","",B391/B339-1)</f>
        <v>-4.7522800098594997E-2</v>
      </c>
      <c r="N391" s="8">
        <f t="shared" ref="N391" si="225">IF(L391="","",C391/C339-1)</f>
        <v>-4.4190466663332151E-2</v>
      </c>
      <c r="O391" s="12">
        <v>4820</v>
      </c>
      <c r="Q391" s="3"/>
      <c r="R391" s="3"/>
      <c r="S391" s="6"/>
      <c r="T391" s="7"/>
      <c r="U391" s="7"/>
      <c r="V391" s="7"/>
      <c r="W391" s="7"/>
      <c r="X391" s="7"/>
      <c r="Y391" s="7"/>
      <c r="Z391" s="7"/>
      <c r="AA391" s="7"/>
      <c r="AB391" s="7"/>
      <c r="AC391" s="7"/>
      <c r="AD391" s="7"/>
      <c r="AE391" s="8"/>
      <c r="AF391" s="8"/>
      <c r="AG391" s="12"/>
    </row>
    <row r="392" spans="1:33" ht="19.7" customHeight="1" x14ac:dyDescent="0.25">
      <c r="A392" s="6">
        <v>42581</v>
      </c>
      <c r="B392" s="7">
        <f t="shared" ref="B392" si="226">IF(SUM(C392:J392)="","",SUM(C392:J392))</f>
        <v>39093</v>
      </c>
      <c r="C392" s="7">
        <v>38677</v>
      </c>
      <c r="D392" s="7">
        <v>261</v>
      </c>
      <c r="E392" s="7">
        <v>155</v>
      </c>
      <c r="F392" s="7">
        <v>0</v>
      </c>
      <c r="G392" s="7">
        <v>0</v>
      </c>
      <c r="H392" s="7">
        <v>0</v>
      </c>
      <c r="I392" s="7">
        <v>0</v>
      </c>
      <c r="J392" s="7">
        <v>0</v>
      </c>
      <c r="K392" s="7">
        <f t="shared" ref="K392" si="227">IF(B392=0,"",B392-B340)</f>
        <v>-1250</v>
      </c>
      <c r="L392" s="7">
        <f t="shared" ref="L392" si="228">IF(C392=0,"",C392-C340)</f>
        <v>-1094</v>
      </c>
      <c r="M392" s="8">
        <f t="shared" ref="M392" si="229">IF(K392="","",B392/B340-1)</f>
        <v>-3.0984309545646127E-2</v>
      </c>
      <c r="N392" s="8">
        <f t="shared" ref="N392" si="230">IF(L392="","",C392/C340-1)</f>
        <v>-2.7507480324859834E-2</v>
      </c>
      <c r="O392" s="12">
        <v>4404</v>
      </c>
      <c r="Q392" s="3"/>
      <c r="R392" s="3"/>
      <c r="S392" s="6"/>
      <c r="T392" s="7"/>
      <c r="U392" s="7"/>
      <c r="V392" s="7"/>
      <c r="W392" s="7"/>
      <c r="X392" s="7"/>
      <c r="Y392" s="7"/>
      <c r="Z392" s="7"/>
      <c r="AA392" s="7"/>
      <c r="AB392" s="7"/>
      <c r="AC392" s="7"/>
      <c r="AD392" s="7"/>
      <c r="AE392" s="8"/>
      <c r="AF392" s="8"/>
      <c r="AG392" s="12"/>
    </row>
    <row r="393" spans="1:33" ht="19.7" customHeight="1" x14ac:dyDescent="0.25">
      <c r="A393" s="6">
        <v>42588</v>
      </c>
      <c r="B393" s="7">
        <f t="shared" ref="B393" si="231">IF(SUM(C393:J393)="","",SUM(C393:J393))</f>
        <v>38252</v>
      </c>
      <c r="C393" s="7">
        <v>37920</v>
      </c>
      <c r="D393" s="7">
        <v>171</v>
      </c>
      <c r="E393" s="7">
        <v>161</v>
      </c>
      <c r="F393" s="7">
        <v>0</v>
      </c>
      <c r="G393" s="7">
        <v>0</v>
      </c>
      <c r="H393" s="7">
        <v>0</v>
      </c>
      <c r="I393" s="7">
        <v>0</v>
      </c>
      <c r="J393" s="7">
        <v>0</v>
      </c>
      <c r="K393" s="7">
        <f t="shared" ref="K393" si="232">IF(B393=0,"",B393-B341)</f>
        <v>-1743</v>
      </c>
      <c r="L393" s="7">
        <f t="shared" ref="L393" si="233">IF(C393=0,"",C393-C341)</f>
        <v>-1592</v>
      </c>
      <c r="M393" s="8">
        <f t="shared" ref="M393" si="234">IF(K393="","",B393/B341-1)</f>
        <v>-4.3580447555944479E-2</v>
      </c>
      <c r="N393" s="8">
        <f t="shared" ref="N393" si="235">IF(L393="","",C393/C341-1)</f>
        <v>-4.0291556995343147E-2</v>
      </c>
      <c r="O393" s="12">
        <v>4428</v>
      </c>
      <c r="Q393" s="3"/>
      <c r="R393" s="3"/>
      <c r="S393" s="6"/>
      <c r="T393" s="7"/>
      <c r="U393" s="7"/>
      <c r="V393" s="7"/>
      <c r="W393" s="7"/>
      <c r="X393" s="7"/>
      <c r="Y393" s="7"/>
      <c r="Z393" s="7"/>
      <c r="AA393" s="7"/>
      <c r="AB393" s="7"/>
      <c r="AC393" s="7"/>
      <c r="AD393" s="7"/>
      <c r="AE393" s="8"/>
      <c r="AF393" s="8"/>
      <c r="AG393" s="12"/>
    </row>
    <row r="394" spans="1:33" ht="19.7" customHeight="1" x14ac:dyDescent="0.25">
      <c r="A394" s="6">
        <v>42595</v>
      </c>
      <c r="B394" s="7">
        <f t="shared" ref="B394" si="236">IF(SUM(C394:J394)="","",SUM(C394:J394))</f>
        <v>37784</v>
      </c>
      <c r="C394" s="7">
        <v>37502</v>
      </c>
      <c r="D394" s="7">
        <v>119</v>
      </c>
      <c r="E394" s="7">
        <v>163</v>
      </c>
      <c r="F394" s="7">
        <v>0</v>
      </c>
      <c r="G394" s="7">
        <v>0</v>
      </c>
      <c r="H394" s="7">
        <v>0</v>
      </c>
      <c r="I394" s="7">
        <v>0</v>
      </c>
      <c r="J394" s="7">
        <v>0</v>
      </c>
      <c r="K394" s="7">
        <f t="shared" ref="K394" si="237">IF(B394=0,"",B394-B342)</f>
        <v>-1511</v>
      </c>
      <c r="L394" s="7">
        <f t="shared" ref="L394" si="238">IF(C394=0,"",C394-C342)</f>
        <v>-1377</v>
      </c>
      <c r="M394" s="8">
        <f t="shared" ref="M394" si="239">IF(K394="","",B394/B342-1)</f>
        <v>-3.8452729354879756E-2</v>
      </c>
      <c r="N394" s="8">
        <f t="shared" ref="N394" si="240">IF(L394="","",C394/C342-1)</f>
        <v>-3.5417577612592899E-2</v>
      </c>
      <c r="O394" s="12">
        <v>4194</v>
      </c>
      <c r="Q394" s="3"/>
      <c r="R394" s="3"/>
      <c r="S394" s="6"/>
      <c r="T394" s="7"/>
      <c r="U394" s="7"/>
      <c r="V394" s="7"/>
      <c r="W394" s="7"/>
      <c r="X394" s="7"/>
      <c r="Y394" s="7"/>
      <c r="Z394" s="7"/>
      <c r="AA394" s="7"/>
      <c r="AB394" s="7"/>
      <c r="AC394" s="7"/>
      <c r="AD394" s="7"/>
      <c r="AE394" s="8"/>
      <c r="AF394" s="8"/>
      <c r="AG394" s="12"/>
    </row>
    <row r="395" spans="1:33" ht="19.7" customHeight="1" x14ac:dyDescent="0.25">
      <c r="A395" s="6">
        <v>42602</v>
      </c>
      <c r="B395" s="7">
        <f t="shared" ref="B395" si="241">IF(SUM(C395:J395)="","",SUM(C395:J395))</f>
        <v>37079</v>
      </c>
      <c r="C395" s="7">
        <v>36800</v>
      </c>
      <c r="D395" s="7">
        <v>106</v>
      </c>
      <c r="E395" s="7">
        <v>173</v>
      </c>
      <c r="F395" s="7">
        <v>0</v>
      </c>
      <c r="G395" s="7">
        <v>0</v>
      </c>
      <c r="H395" s="7">
        <v>0</v>
      </c>
      <c r="I395" s="7">
        <v>0</v>
      </c>
      <c r="J395" s="7">
        <v>0</v>
      </c>
      <c r="K395" s="7">
        <f t="shared" ref="K395" si="242">IF(B395=0,"",B395-B343)</f>
        <v>-1321</v>
      </c>
      <c r="L395" s="7">
        <f t="shared" ref="L395" si="243">IF(C395=0,"",C395-C343)</f>
        <v>-1197</v>
      </c>
      <c r="M395" s="8">
        <f t="shared" ref="M395" si="244">IF(K395="","",B395/B343-1)</f>
        <v>-3.4401041666666687E-2</v>
      </c>
      <c r="N395" s="8">
        <f t="shared" ref="N395" si="245">IF(L395="","",C395/C343-1)</f>
        <v>-3.1502487038450377E-2</v>
      </c>
      <c r="O395" s="12">
        <v>4091</v>
      </c>
      <c r="Q395" s="3"/>
      <c r="R395" s="3"/>
      <c r="S395" s="6"/>
      <c r="T395" s="7"/>
      <c r="U395" s="7"/>
      <c r="V395" s="7"/>
      <c r="W395" s="7"/>
      <c r="X395" s="7"/>
      <c r="Y395" s="7"/>
      <c r="Z395" s="7"/>
      <c r="AA395" s="7"/>
      <c r="AB395" s="7"/>
      <c r="AC395" s="7"/>
      <c r="AD395" s="7"/>
      <c r="AE395" s="8"/>
      <c r="AF395" s="8"/>
      <c r="AG395" s="12"/>
    </row>
    <row r="396" spans="1:33" ht="19.7" customHeight="1" x14ac:dyDescent="0.25">
      <c r="A396" s="6">
        <v>42609</v>
      </c>
      <c r="B396" s="7">
        <f t="shared" ref="B396" si="246">IF(SUM(C396:J396)="","",SUM(C396:J396))</f>
        <v>36103</v>
      </c>
      <c r="C396" s="7">
        <v>35837</v>
      </c>
      <c r="D396" s="7">
        <v>93</v>
      </c>
      <c r="E396" s="7">
        <v>173</v>
      </c>
      <c r="F396" s="7">
        <v>0</v>
      </c>
      <c r="G396" s="7">
        <v>0</v>
      </c>
      <c r="H396" s="7">
        <v>0</v>
      </c>
      <c r="I396" s="7">
        <v>0</v>
      </c>
      <c r="J396" s="7">
        <v>0</v>
      </c>
      <c r="K396" s="7">
        <f t="shared" ref="K396" si="247">IF(B396=0,"",B396-B344)</f>
        <v>-1571</v>
      </c>
      <c r="L396" s="7">
        <f t="shared" ref="L396" si="248">IF(C396=0,"",C396-C344)</f>
        <v>-1460</v>
      </c>
      <c r="M396" s="8">
        <f t="shared" ref="M396" si="249">IF(K396="","",B396/B344-1)</f>
        <v>-4.1699846047672184E-2</v>
      </c>
      <c r="N396" s="8">
        <f t="shared" ref="N396" si="250">IF(L396="","",C396/C344-1)</f>
        <v>-3.9145239563503798E-2</v>
      </c>
      <c r="O396" s="12">
        <v>3970</v>
      </c>
      <c r="Q396" s="3"/>
      <c r="R396" s="3"/>
      <c r="S396" s="6"/>
      <c r="T396" s="7"/>
      <c r="U396" s="7"/>
      <c r="V396" s="7"/>
      <c r="W396" s="7"/>
      <c r="X396" s="7"/>
      <c r="Y396" s="7"/>
      <c r="Z396" s="7"/>
      <c r="AA396" s="7"/>
      <c r="AB396" s="7"/>
      <c r="AC396" s="7"/>
      <c r="AD396" s="7"/>
      <c r="AE396" s="8"/>
      <c r="AF396" s="8"/>
      <c r="AG396" s="12"/>
    </row>
    <row r="397" spans="1:33" ht="19.7" customHeight="1" x14ac:dyDescent="0.25">
      <c r="A397" s="6">
        <v>42616</v>
      </c>
      <c r="B397" s="7">
        <f t="shared" ref="B397" si="251">IF(SUM(C397:J397)="","",SUM(C397:J397))</f>
        <v>34834</v>
      </c>
      <c r="C397" s="7">
        <v>34579</v>
      </c>
      <c r="D397" s="7">
        <v>93</v>
      </c>
      <c r="E397" s="7">
        <v>162</v>
      </c>
      <c r="F397" s="7">
        <v>0</v>
      </c>
      <c r="G397" s="7">
        <v>0</v>
      </c>
      <c r="H397" s="7">
        <v>0</v>
      </c>
      <c r="I397" s="7">
        <v>0</v>
      </c>
      <c r="J397" s="7">
        <v>0</v>
      </c>
      <c r="K397" s="7">
        <f t="shared" ref="K397" si="252">IF(B397=0,"",B397-B345)</f>
        <v>-1101</v>
      </c>
      <c r="L397" s="7">
        <f t="shared" ref="L397" si="253">IF(C397=0,"",C397-C345)</f>
        <v>-1008</v>
      </c>
      <c r="M397" s="8">
        <f t="shared" ref="M397" si="254">IF(K397="","",B397/B345-1)</f>
        <v>-3.0638653123695514E-2</v>
      </c>
      <c r="N397" s="8">
        <f t="shared" ref="N397" si="255">IF(L397="","",C397/C345-1)</f>
        <v>-2.8324950122235681E-2</v>
      </c>
      <c r="O397" s="12">
        <v>4010</v>
      </c>
      <c r="Q397" s="3"/>
      <c r="R397" s="3"/>
      <c r="S397" s="6"/>
      <c r="T397" s="7"/>
      <c r="U397" s="7"/>
      <c r="V397" s="7"/>
      <c r="W397" s="7"/>
      <c r="X397" s="7"/>
      <c r="Y397" s="7"/>
      <c r="Z397" s="7"/>
      <c r="AA397" s="7"/>
      <c r="AB397" s="7"/>
      <c r="AC397" s="7"/>
      <c r="AD397" s="7"/>
      <c r="AE397" s="8"/>
      <c r="AF397" s="8"/>
      <c r="AG397" s="12"/>
    </row>
    <row r="398" spans="1:33" ht="19.7" customHeight="1" x14ac:dyDescent="0.25">
      <c r="A398" s="6">
        <v>42623</v>
      </c>
      <c r="B398" s="7">
        <f t="shared" ref="B398" si="256">IF(SUM(C398:J398)="","",SUM(C398:J398))</f>
        <v>33207</v>
      </c>
      <c r="C398" s="7">
        <v>32936</v>
      </c>
      <c r="D398" s="7">
        <v>107</v>
      </c>
      <c r="E398" s="7">
        <v>164</v>
      </c>
      <c r="F398" s="7">
        <v>0</v>
      </c>
      <c r="G398" s="7">
        <v>0</v>
      </c>
      <c r="H398" s="7">
        <v>0</v>
      </c>
      <c r="I398" s="7">
        <v>0</v>
      </c>
      <c r="J398" s="7">
        <v>0</v>
      </c>
      <c r="K398" s="7">
        <f t="shared" ref="K398" si="257">IF(B398=0,"",B398-B346)</f>
        <v>-1540</v>
      </c>
      <c r="L398" s="7">
        <f t="shared" ref="L398" si="258">IF(C398=0,"",C398-C346)</f>
        <v>-1468</v>
      </c>
      <c r="M398" s="8">
        <f t="shared" ref="M398" si="259">IF(K398="","",B398/B346-1)</f>
        <v>-4.4320372981840106E-2</v>
      </c>
      <c r="N398" s="8">
        <f t="shared" ref="N398" si="260">IF(L398="","",C398/C346-1)</f>
        <v>-4.2669457039879122E-2</v>
      </c>
      <c r="O398" s="12">
        <v>3588</v>
      </c>
      <c r="Q398" s="3"/>
      <c r="R398" s="3"/>
      <c r="S398" s="6"/>
      <c r="T398" s="7"/>
      <c r="U398" s="7"/>
      <c r="V398" s="7"/>
      <c r="W398" s="7"/>
      <c r="X398" s="7"/>
      <c r="Y398" s="7"/>
      <c r="Z398" s="7"/>
      <c r="AA398" s="7"/>
      <c r="AB398" s="7"/>
      <c r="AC398" s="7"/>
      <c r="AD398" s="7"/>
      <c r="AE398" s="8"/>
      <c r="AF398" s="8"/>
      <c r="AG398" s="12"/>
    </row>
    <row r="399" spans="1:33" ht="19.7" customHeight="1" x14ac:dyDescent="0.25">
      <c r="A399" s="6">
        <v>42630</v>
      </c>
      <c r="B399" s="7">
        <f t="shared" ref="B399" si="261">IF(SUM(C399:J399)="","",SUM(C399:J399))</f>
        <v>32709</v>
      </c>
      <c r="C399" s="7">
        <v>32456</v>
      </c>
      <c r="D399" s="7">
        <v>88</v>
      </c>
      <c r="E399" s="7">
        <v>165</v>
      </c>
      <c r="F399" s="7">
        <v>0</v>
      </c>
      <c r="G399" s="7">
        <v>0</v>
      </c>
      <c r="H399" s="7">
        <v>0</v>
      </c>
      <c r="I399" s="7">
        <v>0</v>
      </c>
      <c r="J399" s="7">
        <v>0</v>
      </c>
      <c r="K399" s="7">
        <f t="shared" ref="K399" si="262">IF(B399=0,"",B399-B347)</f>
        <v>-1909</v>
      </c>
      <c r="L399" s="7">
        <f t="shared" ref="L399" si="263">IF(C399=0,"",C399-C347)</f>
        <v>-1827</v>
      </c>
      <c r="M399" s="8">
        <f t="shared" ref="M399" si="264">IF(K399="","",B399/B347-1)</f>
        <v>-5.5144722398752122E-2</v>
      </c>
      <c r="N399" s="8">
        <f t="shared" ref="N399" si="265">IF(L399="","",C399/C347-1)</f>
        <v>-5.3291718927748422E-2</v>
      </c>
      <c r="O399" s="12">
        <v>4056</v>
      </c>
      <c r="Q399" s="3"/>
      <c r="R399" s="3"/>
      <c r="S399" s="6"/>
      <c r="T399" s="7"/>
      <c r="U399" s="7"/>
      <c r="V399" s="7"/>
      <c r="W399" s="7"/>
      <c r="X399" s="7"/>
      <c r="Y399" s="7"/>
      <c r="Z399" s="7"/>
      <c r="AA399" s="7"/>
      <c r="AB399" s="7"/>
      <c r="AC399" s="7"/>
      <c r="AD399" s="7"/>
      <c r="AE399" s="8"/>
      <c r="AF399" s="8"/>
      <c r="AG399" s="12"/>
    </row>
    <row r="400" spans="1:33" ht="19.7" customHeight="1" x14ac:dyDescent="0.25">
      <c r="A400" s="6">
        <v>42637</v>
      </c>
      <c r="B400" s="7">
        <f t="shared" ref="B400" si="266">IF(SUM(C400:J400)="","",SUM(C400:J400))</f>
        <v>31587</v>
      </c>
      <c r="C400" s="7">
        <v>31343</v>
      </c>
      <c r="D400" s="7">
        <v>99</v>
      </c>
      <c r="E400" s="7">
        <v>145</v>
      </c>
      <c r="F400" s="7">
        <v>0</v>
      </c>
      <c r="G400" s="7">
        <v>0</v>
      </c>
      <c r="H400" s="7">
        <v>0</v>
      </c>
      <c r="I400" s="7">
        <v>0</v>
      </c>
      <c r="J400" s="7">
        <v>0</v>
      </c>
      <c r="K400" s="7">
        <f t="shared" ref="K400" si="267">IF(B400=0,"",B400-B348)</f>
        <v>-1660</v>
      </c>
      <c r="L400" s="7">
        <f t="shared" ref="L400" si="268">IF(C400=0,"",C400-C348)</f>
        <v>-1602</v>
      </c>
      <c r="M400" s="8">
        <f t="shared" ref="M400" si="269">IF(K400="","",B400/B348-1)</f>
        <v>-4.9929316930850898E-2</v>
      </c>
      <c r="N400" s="8">
        <f t="shared" ref="N400" si="270">IF(L400="","",C400/C348-1)</f>
        <v>-4.8626498709971155E-2</v>
      </c>
      <c r="O400" s="12">
        <v>3945</v>
      </c>
      <c r="Q400" s="3"/>
      <c r="R400" s="3"/>
      <c r="S400" s="6"/>
      <c r="T400" s="7"/>
      <c r="U400" s="7"/>
      <c r="V400" s="7"/>
      <c r="W400" s="7"/>
      <c r="X400" s="7"/>
      <c r="Y400" s="7"/>
      <c r="Z400" s="7"/>
      <c r="AA400" s="7"/>
      <c r="AB400" s="7"/>
      <c r="AC400" s="7"/>
      <c r="AD400" s="7"/>
      <c r="AE400" s="8"/>
      <c r="AF400" s="8"/>
      <c r="AG400" s="12"/>
    </row>
    <row r="401" spans="1:33" ht="19.7" customHeight="1" x14ac:dyDescent="0.25">
      <c r="A401" s="6">
        <v>42644</v>
      </c>
      <c r="B401" s="7">
        <f t="shared" ref="B401" si="271">IF(SUM(C401:J401)="","",SUM(C401:J401))</f>
        <v>30908</v>
      </c>
      <c r="C401" s="7">
        <v>30668</v>
      </c>
      <c r="D401" s="7">
        <v>95</v>
      </c>
      <c r="E401" s="7">
        <v>145</v>
      </c>
      <c r="F401" s="7">
        <v>0</v>
      </c>
      <c r="G401" s="7">
        <v>0</v>
      </c>
      <c r="H401" s="7">
        <v>0</v>
      </c>
      <c r="I401" s="7">
        <v>0</v>
      </c>
      <c r="J401" s="7">
        <v>0</v>
      </c>
      <c r="K401" s="7">
        <f t="shared" ref="K401" si="272">IF(B401=0,"",B401-B349)</f>
        <v>-1950</v>
      </c>
      <c r="L401" s="7">
        <f t="shared" ref="L401" si="273">IF(C401=0,"",C401-C349)</f>
        <v>-1861</v>
      </c>
      <c r="M401" s="8">
        <f t="shared" ref="M401" si="274">IF(K401="","",B401/B349-1)</f>
        <v>-5.9346277923184587E-2</v>
      </c>
      <c r="N401" s="8">
        <f t="shared" ref="N401" si="275">IF(L401="","",C401/C349-1)</f>
        <v>-5.721048910203208E-2</v>
      </c>
      <c r="O401" s="12">
        <v>3987</v>
      </c>
      <c r="Q401" s="3"/>
      <c r="R401" s="3"/>
      <c r="S401" s="6"/>
      <c r="T401" s="7"/>
      <c r="U401" s="7"/>
      <c r="V401" s="7"/>
      <c r="W401" s="7"/>
      <c r="X401" s="7"/>
      <c r="Y401" s="7"/>
      <c r="Z401" s="7"/>
      <c r="AA401" s="7"/>
      <c r="AB401" s="7"/>
      <c r="AC401" s="7"/>
      <c r="AD401" s="7"/>
      <c r="AE401" s="8"/>
      <c r="AF401" s="8"/>
      <c r="AG401" s="12"/>
    </row>
    <row r="402" spans="1:33" ht="19.7" customHeight="1" x14ac:dyDescent="0.25">
      <c r="A402" s="6">
        <v>42651</v>
      </c>
      <c r="B402" s="7">
        <f t="shared" ref="B402" si="276">IF(SUM(C402:J402)="","",SUM(C402:J402))</f>
        <v>29789</v>
      </c>
      <c r="C402" s="7">
        <v>29555</v>
      </c>
      <c r="D402" s="7">
        <v>94</v>
      </c>
      <c r="E402" s="7">
        <v>140</v>
      </c>
      <c r="F402" s="7">
        <v>0</v>
      </c>
      <c r="G402" s="7">
        <v>0</v>
      </c>
      <c r="H402" s="7">
        <v>0</v>
      </c>
      <c r="I402" s="7">
        <v>0</v>
      </c>
      <c r="J402" s="7">
        <v>0</v>
      </c>
      <c r="K402" s="7">
        <f t="shared" ref="K402" si="277">IF(B402=0,"",B402-B350)</f>
        <v>-1639</v>
      </c>
      <c r="L402" s="7">
        <f t="shared" ref="L402" si="278">IF(C402=0,"",C402-C350)</f>
        <v>-1550</v>
      </c>
      <c r="M402" s="8">
        <f t="shared" ref="M402" si="279">IF(K402="","",B402/B350-1)</f>
        <v>-5.2150948199058189E-2</v>
      </c>
      <c r="N402" s="8">
        <f t="shared" ref="N402" si="280">IF(L402="","",C402/C350-1)</f>
        <v>-4.9831216846166204E-2</v>
      </c>
      <c r="O402" s="12">
        <v>4659</v>
      </c>
      <c r="Q402" s="3"/>
      <c r="R402" s="3"/>
      <c r="S402" s="6"/>
      <c r="T402" s="7"/>
      <c r="U402" s="7"/>
      <c r="V402" s="7"/>
      <c r="W402" s="7"/>
      <c r="X402" s="7"/>
      <c r="Y402" s="7"/>
      <c r="Z402" s="7"/>
      <c r="AA402" s="7"/>
      <c r="AB402" s="7"/>
      <c r="AC402" s="7"/>
      <c r="AD402" s="7"/>
      <c r="AE402" s="8"/>
      <c r="AF402" s="8"/>
      <c r="AG402" s="12"/>
    </row>
    <row r="403" spans="1:33" ht="19.7" customHeight="1" x14ac:dyDescent="0.25">
      <c r="A403" s="6">
        <v>42658</v>
      </c>
      <c r="B403" s="7">
        <f t="shared" ref="B403" si="281">IF(SUM(C403:J403)="","",SUM(C403:J403))</f>
        <v>29388</v>
      </c>
      <c r="C403" s="7">
        <v>29134</v>
      </c>
      <c r="D403" s="7">
        <v>106</v>
      </c>
      <c r="E403" s="7">
        <v>148</v>
      </c>
      <c r="F403" s="7">
        <v>0</v>
      </c>
      <c r="G403" s="7">
        <v>0</v>
      </c>
      <c r="H403" s="7">
        <v>0</v>
      </c>
      <c r="I403" s="7">
        <v>0</v>
      </c>
      <c r="J403" s="7">
        <v>0</v>
      </c>
      <c r="K403" s="7">
        <f t="shared" ref="K403" si="282">IF(B403=0,"",B403-B351)</f>
        <v>-1543</v>
      </c>
      <c r="L403" s="7">
        <f t="shared" ref="L403" si="283">IF(C403=0,"",C403-C351)</f>
        <v>-1472</v>
      </c>
      <c r="M403" s="8">
        <f t="shared" ref="M403" si="284">IF(K403="","",B403/B351-1)</f>
        <v>-4.9885228411625904E-2</v>
      </c>
      <c r="N403" s="8">
        <f t="shared" ref="N403" si="285">IF(L403="","",C403/C351-1)</f>
        <v>-4.8095144742860918E-2</v>
      </c>
      <c r="O403" s="12">
        <v>4022</v>
      </c>
      <c r="Q403" s="3"/>
      <c r="R403" s="3"/>
      <c r="S403" s="6"/>
      <c r="T403" s="7"/>
      <c r="U403" s="7"/>
      <c r="V403" s="7"/>
      <c r="W403" s="7"/>
      <c r="X403" s="7"/>
      <c r="Y403" s="7"/>
      <c r="Z403" s="7"/>
      <c r="AA403" s="7"/>
      <c r="AB403" s="7"/>
      <c r="AC403" s="7"/>
      <c r="AD403" s="7"/>
      <c r="AE403" s="8"/>
      <c r="AF403" s="8"/>
      <c r="AG403" s="12"/>
    </row>
    <row r="404" spans="1:33" ht="19.7" customHeight="1" x14ac:dyDescent="0.25">
      <c r="A404" s="6">
        <v>42665</v>
      </c>
      <c r="B404" s="7">
        <f t="shared" ref="B404" si="286">IF(SUM(C404:J404)="","",SUM(C404:J404))</f>
        <v>29437</v>
      </c>
      <c r="C404" s="7">
        <v>29155</v>
      </c>
      <c r="D404" s="7">
        <v>132</v>
      </c>
      <c r="E404" s="7">
        <v>150</v>
      </c>
      <c r="F404" s="7">
        <v>0</v>
      </c>
      <c r="G404" s="7">
        <v>0</v>
      </c>
      <c r="H404" s="7">
        <v>0</v>
      </c>
      <c r="I404" s="7">
        <v>0</v>
      </c>
      <c r="J404" s="7">
        <v>0</v>
      </c>
      <c r="K404" s="7">
        <f t="shared" ref="K404" si="287">IF(B404=0,"",B404-B352)</f>
        <v>-1437</v>
      </c>
      <c r="L404" s="7">
        <f t="shared" ref="L404" si="288">IF(C404=0,"",C404-C352)</f>
        <v>-1371</v>
      </c>
      <c r="M404" s="8">
        <f t="shared" ref="M404" si="289">IF(K404="","",B404/B352-1)</f>
        <v>-4.654401762000393E-2</v>
      </c>
      <c r="N404" s="8">
        <f t="shared" ref="N404" si="290">IF(L404="","",C404/C352-1)</f>
        <v>-4.4912533577933567E-2</v>
      </c>
      <c r="O404" s="12">
        <v>4063</v>
      </c>
      <c r="Q404" s="3"/>
      <c r="R404" s="3"/>
      <c r="S404" s="6"/>
      <c r="T404" s="7"/>
      <c r="U404" s="7"/>
      <c r="V404" s="7"/>
      <c r="W404" s="7"/>
      <c r="X404" s="7"/>
      <c r="Y404" s="7"/>
      <c r="Z404" s="7"/>
      <c r="AA404" s="7"/>
      <c r="AB404" s="7"/>
      <c r="AC404" s="7"/>
      <c r="AD404" s="7"/>
      <c r="AE404" s="8"/>
      <c r="AF404" s="8"/>
      <c r="AG404" s="12"/>
    </row>
    <row r="405" spans="1:33" ht="19.7" customHeight="1" x14ac:dyDescent="0.25">
      <c r="A405" s="6">
        <v>42672</v>
      </c>
      <c r="B405" s="7">
        <f t="shared" ref="B405" si="291">IF(SUM(C405:J405)="","",SUM(C405:J405))</f>
        <v>28927</v>
      </c>
      <c r="C405" s="7">
        <v>28652</v>
      </c>
      <c r="D405" s="7">
        <v>130</v>
      </c>
      <c r="E405" s="7">
        <v>145</v>
      </c>
      <c r="F405" s="7">
        <v>0</v>
      </c>
      <c r="G405" s="7">
        <v>0</v>
      </c>
      <c r="H405" s="7">
        <v>0</v>
      </c>
      <c r="I405" s="7">
        <v>0</v>
      </c>
      <c r="J405" s="7">
        <v>0</v>
      </c>
      <c r="K405" s="7">
        <f t="shared" ref="K405" si="292">IF(B405=0,"",B405-B353)</f>
        <v>-871</v>
      </c>
      <c r="L405" s="7">
        <f t="shared" ref="L405" si="293">IF(C405=0,"",C405-C353)</f>
        <v>-792</v>
      </c>
      <c r="M405" s="8">
        <f t="shared" ref="M405" si="294">IF(K405="","",B405/B353-1)</f>
        <v>-2.9230149674474792E-2</v>
      </c>
      <c r="N405" s="8">
        <f t="shared" ref="N405" si="295">IF(L405="","",C405/C353-1)</f>
        <v>-2.6898519222931627E-2</v>
      </c>
      <c r="O405" s="12">
        <v>3942</v>
      </c>
      <c r="Q405" s="3"/>
      <c r="R405" s="3"/>
      <c r="S405" s="6"/>
      <c r="T405" s="7"/>
      <c r="U405" s="7"/>
      <c r="V405" s="7"/>
      <c r="W405" s="7"/>
      <c r="X405" s="7"/>
      <c r="Y405" s="7"/>
      <c r="Z405" s="7"/>
      <c r="AA405" s="7"/>
      <c r="AB405" s="7"/>
      <c r="AC405" s="7"/>
      <c r="AD405" s="7"/>
      <c r="AE405" s="8"/>
      <c r="AF405" s="8"/>
      <c r="AG405" s="12"/>
    </row>
    <row r="406" spans="1:33" ht="19.7" customHeight="1" x14ac:dyDescent="0.25">
      <c r="A406" s="6">
        <v>42679</v>
      </c>
      <c r="B406" s="7">
        <f t="shared" ref="B406" si="296">IF(SUM(C406:J406)="","",SUM(C406:J406))</f>
        <v>28295</v>
      </c>
      <c r="C406" s="7">
        <v>27985</v>
      </c>
      <c r="D406" s="7">
        <v>165</v>
      </c>
      <c r="E406" s="7">
        <v>145</v>
      </c>
      <c r="F406" s="7">
        <v>0</v>
      </c>
      <c r="G406" s="7">
        <v>0</v>
      </c>
      <c r="H406" s="7">
        <v>0</v>
      </c>
      <c r="I406" s="7">
        <v>0</v>
      </c>
      <c r="J406" s="7">
        <v>0</v>
      </c>
      <c r="K406" s="7">
        <f t="shared" ref="K406" si="297">IF(B406=0,"",B406-B354)</f>
        <v>-1215</v>
      </c>
      <c r="L406" s="7">
        <f t="shared" ref="L406" si="298">IF(C406=0,"",C406-C354)</f>
        <v>-1159</v>
      </c>
      <c r="M406" s="8">
        <f t="shared" ref="M406" si="299">IF(K406="","",B406/B354-1)</f>
        <v>-4.1172483903761492E-2</v>
      </c>
      <c r="N406" s="8">
        <f t="shared" ref="N406" si="300">IF(L406="","",C406/C354-1)</f>
        <v>-3.9768048311830895E-2</v>
      </c>
      <c r="O406" s="12">
        <v>4184</v>
      </c>
      <c r="Q406" s="3"/>
      <c r="R406" s="3"/>
      <c r="S406" s="6"/>
      <c r="T406" s="7"/>
      <c r="U406" s="7"/>
      <c r="V406" s="7"/>
      <c r="W406" s="7"/>
      <c r="X406" s="7"/>
      <c r="Y406" s="7"/>
      <c r="Z406" s="7"/>
      <c r="AA406" s="7"/>
      <c r="AB406" s="7"/>
      <c r="AC406" s="7"/>
      <c r="AD406" s="7"/>
      <c r="AE406" s="8"/>
      <c r="AF406" s="8"/>
      <c r="AG406" s="12"/>
    </row>
    <row r="407" spans="1:33" ht="19.7" customHeight="1" x14ac:dyDescent="0.25">
      <c r="A407" s="6">
        <v>42686</v>
      </c>
      <c r="B407" s="7">
        <f t="shared" ref="B407" si="301">IF(SUM(C407:J407)="","",SUM(C407:J407))</f>
        <v>26039</v>
      </c>
      <c r="C407" s="7">
        <v>25764</v>
      </c>
      <c r="D407" s="7">
        <v>147</v>
      </c>
      <c r="E407" s="7">
        <v>128</v>
      </c>
      <c r="F407" s="7">
        <v>0</v>
      </c>
      <c r="G407" s="7">
        <v>0</v>
      </c>
      <c r="H407" s="7">
        <v>0</v>
      </c>
      <c r="I407" s="7">
        <v>0</v>
      </c>
      <c r="J407" s="7">
        <v>0</v>
      </c>
      <c r="K407" s="7">
        <f t="shared" ref="K407" si="302">IF(B407=0,"",B407-B355)</f>
        <v>-2434</v>
      </c>
      <c r="L407" s="7">
        <f t="shared" ref="L407" si="303">IF(C407=0,"",C407-C355)</f>
        <v>-2305</v>
      </c>
      <c r="M407" s="8">
        <f t="shared" ref="M407" si="304">IF(K407="","",B407/B355-1)</f>
        <v>-8.5484494082112894E-2</v>
      </c>
      <c r="N407" s="8">
        <f t="shared" ref="N407" si="305">IF(L407="","",C407/C355-1)</f>
        <v>-8.2119063735793918E-2</v>
      </c>
      <c r="O407" s="12">
        <v>3374</v>
      </c>
      <c r="Q407" s="3"/>
      <c r="R407" s="3"/>
      <c r="S407" s="6"/>
      <c r="T407" s="7"/>
      <c r="U407" s="7"/>
      <c r="V407" s="7"/>
      <c r="W407" s="7"/>
      <c r="X407" s="7"/>
      <c r="Y407" s="7"/>
      <c r="Z407" s="7"/>
      <c r="AA407" s="7"/>
      <c r="AB407" s="7"/>
      <c r="AC407" s="7"/>
      <c r="AD407" s="7"/>
      <c r="AE407" s="8"/>
      <c r="AF407" s="8"/>
      <c r="AG407" s="12"/>
    </row>
    <row r="408" spans="1:33" ht="19.7" customHeight="1" x14ac:dyDescent="0.25">
      <c r="A408" s="6">
        <v>42693</v>
      </c>
      <c r="B408" s="7">
        <f t="shared" ref="B408" si="306">IF(SUM(C408:J408)="","",SUM(C408:J408))</f>
        <v>28372</v>
      </c>
      <c r="C408" s="7">
        <v>28057</v>
      </c>
      <c r="D408" s="7">
        <v>167</v>
      </c>
      <c r="E408" s="7">
        <v>148</v>
      </c>
      <c r="F408" s="7">
        <v>0</v>
      </c>
      <c r="G408" s="7">
        <v>0</v>
      </c>
      <c r="H408" s="7">
        <v>0</v>
      </c>
      <c r="I408" s="7">
        <v>0</v>
      </c>
      <c r="J408" s="7">
        <v>0</v>
      </c>
      <c r="K408" s="7">
        <f t="shared" ref="K408" si="307">IF(B408=0,"",B408-B356)</f>
        <v>-136</v>
      </c>
      <c r="L408" s="7">
        <f t="shared" ref="L408" si="308">IF(C408=0,"",C408-C356)</f>
        <v>-45</v>
      </c>
      <c r="M408" s="8">
        <f t="shared" ref="M408" si="309">IF(K408="","",B408/B356-1)</f>
        <v>-4.7705907113793078E-3</v>
      </c>
      <c r="N408" s="8">
        <f t="shared" ref="N408" si="310">IF(L408="","",C408/C356-1)</f>
        <v>-1.6013095153369905E-3</v>
      </c>
      <c r="O408" s="12">
        <v>4291</v>
      </c>
      <c r="Q408" s="3"/>
      <c r="R408" s="3"/>
      <c r="S408" s="6"/>
      <c r="T408" s="7"/>
      <c r="U408" s="7"/>
      <c r="V408" s="7"/>
      <c r="W408" s="7"/>
      <c r="X408" s="7"/>
      <c r="Y408" s="7"/>
      <c r="Z408" s="7"/>
      <c r="AA408" s="7"/>
      <c r="AB408" s="7"/>
      <c r="AC408" s="7"/>
      <c r="AD408" s="7"/>
      <c r="AE408" s="8"/>
      <c r="AF408" s="8"/>
      <c r="AG408" s="12"/>
    </row>
    <row r="409" spans="1:33" ht="19.7" customHeight="1" x14ac:dyDescent="0.25">
      <c r="A409" s="6">
        <v>42700</v>
      </c>
      <c r="B409" s="7">
        <f t="shared" ref="B409" si="311">IF(SUM(C409:J409)="","",SUM(C409:J409))</f>
        <v>25174</v>
      </c>
      <c r="C409" s="7">
        <v>24860</v>
      </c>
      <c r="D409" s="7">
        <v>177</v>
      </c>
      <c r="E409" s="7">
        <v>137</v>
      </c>
      <c r="F409" s="7">
        <v>0</v>
      </c>
      <c r="G409" s="7">
        <v>0</v>
      </c>
      <c r="H409" s="7">
        <v>0</v>
      </c>
      <c r="I409" s="7">
        <v>0</v>
      </c>
      <c r="J409" s="7">
        <v>0</v>
      </c>
      <c r="K409" s="7">
        <f t="shared" ref="K409" si="312">IF(B409=0,"",B409-B357)</f>
        <v>-1456</v>
      </c>
      <c r="L409" s="7">
        <f t="shared" ref="L409" si="313">IF(C409=0,"",C409-C357)</f>
        <v>-1358</v>
      </c>
      <c r="M409" s="8">
        <f t="shared" ref="M409" si="314">IF(K409="","",B409/B357-1)</f>
        <v>-5.4675178370259148E-2</v>
      </c>
      <c r="N409" s="8">
        <f t="shared" ref="N409" si="315">IF(L409="","",C409/C357-1)</f>
        <v>-5.1796475703715039E-2</v>
      </c>
      <c r="O409" s="12">
        <v>2657</v>
      </c>
      <c r="Q409" s="3"/>
      <c r="R409" s="3"/>
      <c r="S409" s="6"/>
      <c r="T409" s="7"/>
      <c r="U409" s="7"/>
      <c r="V409" s="7"/>
      <c r="W409" s="7"/>
      <c r="X409" s="7"/>
      <c r="Y409" s="7"/>
      <c r="Z409" s="7"/>
      <c r="AA409" s="7"/>
      <c r="AB409" s="7"/>
      <c r="AC409" s="7"/>
      <c r="AD409" s="7"/>
      <c r="AE409" s="8"/>
      <c r="AF409" s="8"/>
      <c r="AG409" s="12"/>
    </row>
    <row r="410" spans="1:33" ht="19.7" customHeight="1" x14ac:dyDescent="0.25">
      <c r="A410" s="6">
        <v>42707</v>
      </c>
      <c r="B410" s="7">
        <f t="shared" ref="B410" si="316">IF(SUM(C410:J410)="","",SUM(C410:J410))</f>
        <v>26611</v>
      </c>
      <c r="C410" s="7">
        <v>26283</v>
      </c>
      <c r="D410" s="7">
        <v>197</v>
      </c>
      <c r="E410" s="7">
        <v>131</v>
      </c>
      <c r="F410" s="7">
        <v>0</v>
      </c>
      <c r="G410" s="7">
        <v>0</v>
      </c>
      <c r="H410" s="7">
        <v>0</v>
      </c>
      <c r="I410" s="7">
        <v>0</v>
      </c>
      <c r="J410" s="7">
        <v>0</v>
      </c>
      <c r="K410" s="7">
        <f t="shared" ref="K410" si="317">IF(B410=0,"",B410-B358)</f>
        <v>-1617</v>
      </c>
      <c r="L410" s="7">
        <f t="shared" ref="L410" si="318">IF(C410=0,"",C410-C358)</f>
        <v>-1509</v>
      </c>
      <c r="M410" s="8">
        <f t="shared" ref="M410" si="319">IF(K410="","",B410/B358-1)</f>
        <v>-5.7283548249964622E-2</v>
      </c>
      <c r="N410" s="8">
        <f t="shared" ref="N410" si="320">IF(L410="","",C410/C358-1)</f>
        <v>-5.4296200345423151E-2</v>
      </c>
      <c r="O410" s="12">
        <v>4258</v>
      </c>
      <c r="Q410" s="3"/>
      <c r="R410" s="3"/>
      <c r="S410" s="6"/>
      <c r="T410" s="7"/>
      <c r="U410" s="7"/>
      <c r="V410" s="7"/>
      <c r="W410" s="7"/>
      <c r="X410" s="7"/>
      <c r="Y410" s="7"/>
      <c r="Z410" s="7"/>
      <c r="AA410" s="7"/>
      <c r="AB410" s="7"/>
      <c r="AC410" s="7"/>
      <c r="AD410" s="7"/>
      <c r="AE410" s="8"/>
      <c r="AF410" s="8"/>
      <c r="AG410" s="12"/>
    </row>
    <row r="411" spans="1:33" ht="19.7" customHeight="1" x14ac:dyDescent="0.25">
      <c r="A411" s="6">
        <v>42714</v>
      </c>
      <c r="B411" s="7">
        <f t="shared" ref="B411" si="321">IF(SUM(C411:J411)="","",SUM(C411:J411))</f>
        <v>25261</v>
      </c>
      <c r="C411" s="7">
        <v>24944</v>
      </c>
      <c r="D411" s="7">
        <v>187</v>
      </c>
      <c r="E411" s="7">
        <v>130</v>
      </c>
      <c r="F411" s="7">
        <v>0</v>
      </c>
      <c r="G411" s="7">
        <v>0</v>
      </c>
      <c r="H411" s="7">
        <v>0</v>
      </c>
      <c r="I411" s="7">
        <v>0</v>
      </c>
      <c r="J411" s="7">
        <v>0</v>
      </c>
      <c r="K411" s="7">
        <f t="shared" ref="K411" si="322">IF(B411=0,"",B411-B359)</f>
        <v>-1680</v>
      </c>
      <c r="L411" s="7">
        <f t="shared" ref="L411" si="323">IF(C411=0,"",C411-C359)</f>
        <v>-1547</v>
      </c>
      <c r="M411" s="8">
        <f t="shared" ref="M411" si="324">IF(K411="","",B411/B359-1)</f>
        <v>-6.2358487064325785E-2</v>
      </c>
      <c r="N411" s="8">
        <f t="shared" ref="N411" si="325">IF(L411="","",C411/C359-1)</f>
        <v>-5.839719149899969E-2</v>
      </c>
      <c r="O411" s="12">
        <v>4050</v>
      </c>
      <c r="Q411" s="3"/>
      <c r="R411" s="3"/>
      <c r="S411" s="6"/>
      <c r="T411" s="7"/>
      <c r="U411" s="7"/>
      <c r="V411" s="7"/>
      <c r="W411" s="7"/>
      <c r="X411" s="7"/>
      <c r="Y411" s="7"/>
      <c r="Z411" s="7"/>
      <c r="AA411" s="7"/>
      <c r="AB411" s="7"/>
      <c r="AC411" s="7"/>
      <c r="AD411" s="7"/>
      <c r="AE411" s="8"/>
      <c r="AF411" s="8"/>
      <c r="AG411" s="12"/>
    </row>
    <row r="412" spans="1:33" ht="19.7" customHeight="1" x14ac:dyDescent="0.25">
      <c r="A412" s="6">
        <v>42721</v>
      </c>
      <c r="B412" s="7">
        <f t="shared" ref="B412" si="326">IF(SUM(C412:J412)="","",SUM(C412:J412))</f>
        <v>25926</v>
      </c>
      <c r="C412" s="7">
        <v>25608</v>
      </c>
      <c r="D412" s="7">
        <v>190</v>
      </c>
      <c r="E412" s="7">
        <v>128</v>
      </c>
      <c r="F412" s="7">
        <v>0</v>
      </c>
      <c r="G412" s="7">
        <v>0</v>
      </c>
      <c r="H412" s="7">
        <v>0</v>
      </c>
      <c r="I412" s="7">
        <v>0</v>
      </c>
      <c r="J412" s="7">
        <v>0</v>
      </c>
      <c r="K412" s="7">
        <f t="shared" ref="K412" si="327">IF(B412=0,"",B412-B360)</f>
        <v>-1320</v>
      </c>
      <c r="L412" s="7">
        <f t="shared" ref="L412" si="328">IF(C412=0,"",C412-C360)</f>
        <v>-1189</v>
      </c>
      <c r="M412" s="8">
        <f t="shared" ref="M412" si="329">IF(K412="","",B412/B360-1)</f>
        <v>-4.8447478528958365E-2</v>
      </c>
      <c r="N412" s="8">
        <f t="shared" ref="N412" si="330">IF(L412="","",C412/C360-1)</f>
        <v>-4.4370638504310222E-2</v>
      </c>
      <c r="O412" s="12">
        <v>3730</v>
      </c>
      <c r="Q412" s="3"/>
      <c r="R412" s="3"/>
      <c r="S412" s="6"/>
      <c r="T412" s="7"/>
      <c r="U412" s="7"/>
      <c r="V412" s="7"/>
      <c r="W412" s="7"/>
      <c r="X412" s="7"/>
      <c r="Y412" s="7"/>
      <c r="Z412" s="7"/>
      <c r="AA412" s="7"/>
      <c r="AB412" s="7"/>
      <c r="AC412" s="7"/>
      <c r="AD412" s="7"/>
      <c r="AE412" s="8"/>
      <c r="AF412" s="8"/>
      <c r="AG412" s="12"/>
    </row>
    <row r="413" spans="1:33" ht="19.7" customHeight="1" x14ac:dyDescent="0.25">
      <c r="A413" s="6">
        <v>42728</v>
      </c>
      <c r="B413" s="7">
        <f t="shared" ref="B413" si="331">IF(SUM(C413:J413)="","",SUM(C413:J413))</f>
        <v>25248</v>
      </c>
      <c r="C413" s="7">
        <v>24875</v>
      </c>
      <c r="D413" s="7">
        <v>245</v>
      </c>
      <c r="E413" s="7">
        <v>128</v>
      </c>
      <c r="F413" s="7">
        <v>0</v>
      </c>
      <c r="G413" s="7">
        <v>0</v>
      </c>
      <c r="H413" s="7">
        <v>0</v>
      </c>
      <c r="I413" s="7">
        <v>0</v>
      </c>
      <c r="J413" s="7">
        <v>0</v>
      </c>
      <c r="K413" s="7">
        <f t="shared" ref="K413" si="332">IF(B413=0,"",B413-B361)</f>
        <v>-535</v>
      </c>
      <c r="L413" s="7">
        <f t="shared" ref="L413" si="333">IF(C413=0,"",C413-C361)</f>
        <v>-446</v>
      </c>
      <c r="M413" s="8">
        <f t="shared" ref="M413" si="334">IF(K413="","",B413/B361-1)</f>
        <v>-2.0750106659426781E-2</v>
      </c>
      <c r="N413" s="8">
        <f t="shared" ref="N413" si="335">IF(L413="","",C413/C361-1)</f>
        <v>-1.7613838316022257E-2</v>
      </c>
      <c r="O413" s="12">
        <v>3311</v>
      </c>
      <c r="Q413" s="3"/>
      <c r="R413" s="3"/>
      <c r="S413" s="6"/>
      <c r="T413" s="7"/>
      <c r="U413" s="7"/>
      <c r="V413" s="7"/>
      <c r="W413" s="7"/>
      <c r="X413" s="7"/>
      <c r="Y413" s="7"/>
      <c r="Z413" s="7"/>
      <c r="AA413" s="7"/>
      <c r="AB413" s="7"/>
      <c r="AC413" s="7"/>
      <c r="AD413" s="7"/>
      <c r="AE413" s="8"/>
      <c r="AF413" s="8"/>
      <c r="AG413" s="12"/>
    </row>
    <row r="414" spans="1:33" ht="19.7" customHeight="1" x14ac:dyDescent="0.25">
      <c r="A414" s="6">
        <v>42735</v>
      </c>
      <c r="B414" s="7">
        <f t="shared" ref="B414:B419" si="336">IF(SUM(C414:J414)="","",SUM(C414:J414))</f>
        <v>25782</v>
      </c>
      <c r="C414" s="7">
        <v>25430</v>
      </c>
      <c r="D414" s="7">
        <v>243</v>
      </c>
      <c r="E414" s="7">
        <v>109</v>
      </c>
      <c r="F414" s="7">
        <v>0</v>
      </c>
      <c r="G414" s="7">
        <v>0</v>
      </c>
      <c r="H414" s="7">
        <v>0</v>
      </c>
      <c r="I414" s="7">
        <v>0</v>
      </c>
      <c r="J414" s="7">
        <v>0</v>
      </c>
      <c r="K414" s="7">
        <f>IF(B414=0,"",B414-B362)</f>
        <v>-1676</v>
      </c>
      <c r="L414" s="7">
        <f>IF(C414=0,"",C414-C362)</f>
        <v>-1548</v>
      </c>
      <c r="M414" s="8">
        <f>IF(K414="","",B414/B362-1)</f>
        <v>-6.1038677252531093E-2</v>
      </c>
      <c r="N414" s="8">
        <f>IF(L414="","",C414/C362-1)</f>
        <v>-5.7380087478686392E-2</v>
      </c>
      <c r="O414" s="12">
        <v>3154</v>
      </c>
      <c r="Q414" s="3"/>
      <c r="R414" s="3"/>
      <c r="S414" s="6"/>
      <c r="T414" s="7"/>
      <c r="U414" s="7"/>
      <c r="V414" s="7"/>
      <c r="W414" s="7"/>
      <c r="X414" s="7"/>
      <c r="Y414" s="7"/>
      <c r="Z414" s="7"/>
      <c r="AA414" s="7"/>
      <c r="AB414" s="7"/>
      <c r="AC414" s="7"/>
      <c r="AD414" s="7"/>
      <c r="AE414" s="8"/>
      <c r="AF414" s="8"/>
      <c r="AG414" s="12"/>
    </row>
    <row r="415" spans="1:33" ht="19.7" customHeight="1" x14ac:dyDescent="0.25">
      <c r="A415" s="6">
        <v>42742</v>
      </c>
      <c r="B415" s="7">
        <f t="shared" si="336"/>
        <v>25639</v>
      </c>
      <c r="C415" s="7">
        <v>25244</v>
      </c>
      <c r="D415" s="7">
        <v>276</v>
      </c>
      <c r="E415" s="7">
        <v>119</v>
      </c>
      <c r="F415" s="7">
        <v>0</v>
      </c>
      <c r="G415" s="7">
        <v>0</v>
      </c>
      <c r="H415" s="7">
        <v>0</v>
      </c>
      <c r="I415" s="7">
        <v>0</v>
      </c>
      <c r="J415" s="7">
        <v>0</v>
      </c>
      <c r="K415" s="7">
        <f>IF(B415=0,"",B415-B363)</f>
        <v>-2446</v>
      </c>
      <c r="L415" s="7">
        <f>IF(C415=0,"",C415-C363)</f>
        <v>-2328</v>
      </c>
      <c r="M415" s="8">
        <f>IF(K415="","",B415/B363-1)</f>
        <v>-8.7092754139220241E-2</v>
      </c>
      <c r="N415" s="8">
        <f>IF(L415="","",C415/C363-1)</f>
        <v>-8.4433483243870566E-2</v>
      </c>
      <c r="O415" s="12">
        <v>4551</v>
      </c>
      <c r="Q415" s="3"/>
      <c r="R415" s="3"/>
      <c r="S415" s="6"/>
      <c r="T415" s="7"/>
      <c r="U415" s="7"/>
      <c r="V415" s="7"/>
      <c r="W415" s="7"/>
      <c r="X415" s="7"/>
      <c r="Y415" s="7"/>
      <c r="Z415" s="7"/>
      <c r="AA415" s="7"/>
      <c r="AB415" s="7"/>
      <c r="AC415" s="7"/>
      <c r="AD415" s="7"/>
      <c r="AE415" s="8"/>
      <c r="AF415" s="8"/>
      <c r="AG415" s="12"/>
    </row>
    <row r="416" spans="1:33" ht="19.7" customHeight="1" x14ac:dyDescent="0.25">
      <c r="A416" s="6">
        <v>42749</v>
      </c>
      <c r="B416" s="7">
        <f t="shared" si="336"/>
        <v>26405</v>
      </c>
      <c r="C416" s="7">
        <v>26033</v>
      </c>
      <c r="D416" s="7">
        <v>261</v>
      </c>
      <c r="E416" s="7">
        <v>111</v>
      </c>
      <c r="F416" s="7">
        <v>0</v>
      </c>
      <c r="G416" s="7">
        <v>0</v>
      </c>
      <c r="H416" s="7">
        <v>0</v>
      </c>
      <c r="I416" s="7">
        <v>0</v>
      </c>
      <c r="J416" s="7">
        <v>0</v>
      </c>
      <c r="K416" s="7">
        <f t="shared" ref="K416:L416" si="337">IF(B416=0,"",B416-B364)</f>
        <v>-1882</v>
      </c>
      <c r="L416" s="7">
        <f t="shared" si="337"/>
        <v>-1761</v>
      </c>
      <c r="M416" s="8">
        <f t="shared" ref="M416:N416" si="338">IF(K416="","",B416/B364-1)</f>
        <v>-6.6532329338565455E-2</v>
      </c>
      <c r="N416" s="8">
        <f t="shared" si="338"/>
        <v>-6.33589983449665E-2</v>
      </c>
      <c r="O416" s="12">
        <v>4677</v>
      </c>
      <c r="Q416" s="3"/>
      <c r="R416" s="3"/>
      <c r="S416" s="6"/>
      <c r="T416" s="7"/>
      <c r="U416" s="7"/>
      <c r="V416" s="7"/>
      <c r="W416" s="7"/>
      <c r="X416" s="7"/>
      <c r="Y416" s="7"/>
      <c r="Z416" s="7"/>
      <c r="AA416" s="7"/>
      <c r="AB416" s="7"/>
      <c r="AC416" s="7"/>
      <c r="AD416" s="7"/>
      <c r="AE416" s="8"/>
      <c r="AF416" s="8"/>
      <c r="AG416" s="12"/>
    </row>
    <row r="417" spans="1:33" ht="19.7" customHeight="1" x14ac:dyDescent="0.25">
      <c r="A417" s="6">
        <v>42756</v>
      </c>
      <c r="B417" s="7">
        <f t="shared" si="336"/>
        <v>26307</v>
      </c>
      <c r="C417" s="7">
        <v>25912</v>
      </c>
      <c r="D417" s="7">
        <v>280</v>
      </c>
      <c r="E417" s="7">
        <v>115</v>
      </c>
      <c r="F417" s="7">
        <v>0</v>
      </c>
      <c r="G417" s="7">
        <v>0</v>
      </c>
      <c r="H417" s="7">
        <v>0</v>
      </c>
      <c r="I417" s="7">
        <v>0</v>
      </c>
      <c r="J417" s="7">
        <v>0</v>
      </c>
      <c r="K417" s="7">
        <f t="shared" ref="K417:L417" si="339">IF(B417=0,"",B417-B365)</f>
        <v>-1287</v>
      </c>
      <c r="L417" s="7">
        <f t="shared" si="339"/>
        <v>-1177</v>
      </c>
      <c r="M417" s="8">
        <f t="shared" ref="M417:N417" si="340">IF(K417="","",B417/B365-1)</f>
        <v>-4.6640574037834281E-2</v>
      </c>
      <c r="N417" s="8">
        <f t="shared" si="340"/>
        <v>-4.344937059322973E-2</v>
      </c>
      <c r="O417" s="12">
        <v>3944</v>
      </c>
      <c r="Q417" s="3"/>
      <c r="R417" s="3"/>
      <c r="S417" s="6"/>
      <c r="T417" s="7"/>
      <c r="U417" s="7"/>
      <c r="V417" s="7"/>
      <c r="W417" s="7"/>
      <c r="X417" s="7"/>
      <c r="Y417" s="7"/>
      <c r="Z417" s="7"/>
      <c r="AA417" s="7"/>
      <c r="AB417" s="7"/>
      <c r="AC417" s="7"/>
      <c r="AD417" s="7"/>
      <c r="AE417" s="8"/>
      <c r="AF417" s="8"/>
      <c r="AG417" s="12"/>
    </row>
    <row r="418" spans="1:33" ht="19.7" customHeight="1" x14ac:dyDescent="0.25">
      <c r="A418" s="6">
        <v>42763</v>
      </c>
      <c r="B418" s="7">
        <f t="shared" si="336"/>
        <v>26369</v>
      </c>
      <c r="C418" s="7">
        <v>25994</v>
      </c>
      <c r="D418" s="7">
        <v>262</v>
      </c>
      <c r="E418" s="7">
        <v>113</v>
      </c>
      <c r="F418" s="7">
        <v>0</v>
      </c>
      <c r="G418" s="7">
        <v>0</v>
      </c>
      <c r="H418" s="7">
        <v>0</v>
      </c>
      <c r="I418" s="7">
        <v>0</v>
      </c>
      <c r="J418" s="7">
        <v>0</v>
      </c>
      <c r="K418" s="7">
        <f t="shared" ref="K418:L418" si="341">IF(B418=0,"",B418-B366)</f>
        <v>-1993</v>
      </c>
      <c r="L418" s="7">
        <f t="shared" si="341"/>
        <v>-1914</v>
      </c>
      <c r="M418" s="8">
        <f t="shared" ref="M418:N418" si="342">IF(K418="","",B418/B366-1)</f>
        <v>-7.0270079684084386E-2</v>
      </c>
      <c r="N418" s="8">
        <f t="shared" si="342"/>
        <v>-6.858248530887201E-2</v>
      </c>
      <c r="O418" s="12">
        <v>4205</v>
      </c>
      <c r="Q418" s="3"/>
      <c r="R418" s="3"/>
      <c r="S418" s="6"/>
      <c r="T418" s="7"/>
      <c r="U418" s="7"/>
      <c r="V418" s="7"/>
      <c r="W418" s="7"/>
      <c r="X418" s="7"/>
      <c r="Y418" s="7"/>
      <c r="Z418" s="7"/>
      <c r="AA418" s="7"/>
      <c r="AB418" s="7"/>
      <c r="AC418" s="7"/>
      <c r="AD418" s="7"/>
      <c r="AE418" s="8"/>
      <c r="AF418" s="8"/>
      <c r="AG418" s="12"/>
    </row>
    <row r="419" spans="1:33" ht="19.7" customHeight="1" x14ac:dyDescent="0.25">
      <c r="A419" s="6">
        <v>42770</v>
      </c>
      <c r="B419" s="7">
        <f t="shared" si="336"/>
        <v>25870</v>
      </c>
      <c r="C419" s="7">
        <v>25502</v>
      </c>
      <c r="D419" s="7">
        <v>274</v>
      </c>
      <c r="E419" s="7">
        <v>94</v>
      </c>
      <c r="F419" s="7">
        <v>0</v>
      </c>
      <c r="G419" s="7">
        <v>0</v>
      </c>
      <c r="H419" s="7">
        <v>0</v>
      </c>
      <c r="I419" s="7">
        <v>0</v>
      </c>
      <c r="J419" s="7">
        <v>0</v>
      </c>
      <c r="K419" s="7">
        <f t="shared" ref="K419:L419" si="343">IF(B419=0,"",B419-B367)</f>
        <v>-1853</v>
      </c>
      <c r="L419" s="7">
        <f t="shared" si="343"/>
        <v>-1768</v>
      </c>
      <c r="M419" s="8">
        <f t="shared" ref="M419:N419" si="344">IF(K419="","",B419/B367-1)</f>
        <v>-6.6839808101576303E-2</v>
      </c>
      <c r="N419" s="8">
        <f t="shared" si="344"/>
        <v>-6.4833149981664784E-2</v>
      </c>
      <c r="O419" s="12">
        <v>4300</v>
      </c>
      <c r="Q419" s="3"/>
      <c r="R419" s="3"/>
      <c r="S419" s="6"/>
      <c r="T419" s="7"/>
      <c r="U419" s="7"/>
      <c r="V419" s="7"/>
      <c r="W419" s="7"/>
      <c r="X419" s="7"/>
      <c r="Y419" s="7"/>
      <c r="Z419" s="7"/>
      <c r="AA419" s="7"/>
      <c r="AB419" s="7"/>
      <c r="AC419" s="7"/>
      <c r="AD419" s="7"/>
      <c r="AE419" s="8"/>
      <c r="AF419" s="8"/>
      <c r="AG419" s="12"/>
    </row>
    <row r="420" spans="1:33" ht="19.7" customHeight="1" x14ac:dyDescent="0.25">
      <c r="A420" s="6">
        <v>42777</v>
      </c>
      <c r="B420" s="7">
        <f t="shared" ref="B420" si="345">IF(SUM(C420:J420)="","",SUM(C420:J420))</f>
        <v>26132</v>
      </c>
      <c r="C420" s="7">
        <v>25778</v>
      </c>
      <c r="D420" s="7">
        <v>256</v>
      </c>
      <c r="E420" s="7">
        <v>98</v>
      </c>
      <c r="F420" s="7">
        <v>0</v>
      </c>
      <c r="G420" s="7">
        <v>0</v>
      </c>
      <c r="H420" s="7">
        <v>0</v>
      </c>
      <c r="I420" s="7">
        <v>0</v>
      </c>
      <c r="J420" s="7">
        <v>0</v>
      </c>
      <c r="K420" s="7">
        <f t="shared" ref="K420:L420" si="346">IF(B420=0,"",B420-B368)</f>
        <v>-1680</v>
      </c>
      <c r="L420" s="7">
        <f t="shared" si="346"/>
        <v>-1605</v>
      </c>
      <c r="M420" s="8">
        <f t="shared" ref="M420:N420" si="347">IF(K420="","",B420/B368-1)</f>
        <v>-6.040558032503951E-2</v>
      </c>
      <c r="N420" s="8">
        <f t="shared" si="347"/>
        <v>-5.8613008070700801E-2</v>
      </c>
      <c r="O420" s="12">
        <v>4003</v>
      </c>
      <c r="Q420" s="3"/>
      <c r="R420" s="3"/>
      <c r="S420" s="6"/>
      <c r="T420" s="7"/>
      <c r="U420" s="7"/>
      <c r="V420" s="7"/>
      <c r="W420" s="7"/>
      <c r="X420" s="7"/>
      <c r="Y420" s="7"/>
      <c r="Z420" s="7"/>
      <c r="AA420" s="7"/>
      <c r="AB420" s="7"/>
      <c r="AC420" s="7"/>
      <c r="AD420" s="7"/>
      <c r="AE420" s="8"/>
      <c r="AF420" s="8"/>
      <c r="AG420" s="12"/>
    </row>
    <row r="421" spans="1:33" ht="19.7" customHeight="1" x14ac:dyDescent="0.25">
      <c r="A421" s="6">
        <v>42784</v>
      </c>
      <c r="B421" s="7">
        <f t="shared" ref="B421:B427" si="348">IF(SUM(C421:J421)="","",SUM(C421:J421))</f>
        <v>26326</v>
      </c>
      <c r="C421" s="7">
        <v>25961</v>
      </c>
      <c r="D421" s="7">
        <v>271</v>
      </c>
      <c r="E421" s="7">
        <v>94</v>
      </c>
      <c r="F421" s="7">
        <v>0</v>
      </c>
      <c r="G421" s="7">
        <v>0</v>
      </c>
      <c r="H421" s="7">
        <v>0</v>
      </c>
      <c r="I421" s="7">
        <v>0</v>
      </c>
      <c r="J421" s="7">
        <v>0</v>
      </c>
      <c r="K421" s="7">
        <f t="shared" ref="K421:L421" si="349">IF(B421=0,"",B421-B369)</f>
        <v>-863</v>
      </c>
      <c r="L421" s="7">
        <f t="shared" si="349"/>
        <v>-765</v>
      </c>
      <c r="M421" s="8">
        <f t="shared" ref="M421:N421" si="350">IF(K421="","",B421/B369-1)</f>
        <v>-3.1740777520320673E-2</v>
      </c>
      <c r="N421" s="8">
        <f t="shared" si="350"/>
        <v>-2.8623812018259365E-2</v>
      </c>
      <c r="O421" s="12">
        <v>3718</v>
      </c>
      <c r="Q421" s="3"/>
      <c r="R421" s="3"/>
      <c r="S421" s="6"/>
      <c r="T421" s="7"/>
      <c r="U421" s="7"/>
      <c r="V421" s="7"/>
      <c r="W421" s="7"/>
      <c r="X421" s="7"/>
      <c r="Y421" s="7"/>
      <c r="Z421" s="7"/>
      <c r="AA421" s="7"/>
      <c r="AB421" s="7"/>
      <c r="AC421" s="7"/>
      <c r="AD421" s="7"/>
      <c r="AE421" s="8"/>
      <c r="AF421" s="8"/>
      <c r="AG421" s="12"/>
    </row>
    <row r="422" spans="1:33" ht="19.7" customHeight="1" x14ac:dyDescent="0.25">
      <c r="A422" s="6">
        <v>42791</v>
      </c>
      <c r="B422" s="7">
        <f t="shared" si="348"/>
        <v>25594</v>
      </c>
      <c r="C422" s="7">
        <v>25299</v>
      </c>
      <c r="D422" s="7">
        <v>215</v>
      </c>
      <c r="E422" s="7">
        <v>80</v>
      </c>
      <c r="F422" s="7">
        <v>0</v>
      </c>
      <c r="G422" s="7">
        <v>0</v>
      </c>
      <c r="H422" s="7">
        <v>0</v>
      </c>
      <c r="I422" s="7">
        <v>0</v>
      </c>
      <c r="J422" s="7">
        <v>0</v>
      </c>
      <c r="K422" s="7">
        <f t="shared" ref="K422:L422" si="351">IF(B422=0,"",B422-B370)</f>
        <v>-1894</v>
      </c>
      <c r="L422" s="7">
        <f t="shared" si="351"/>
        <v>-1751</v>
      </c>
      <c r="M422" s="8">
        <f t="shared" ref="M422:N422" si="352">IF(K422="","",B422/B370-1)</f>
        <v>-6.8902793946449381E-2</v>
      </c>
      <c r="N422" s="8">
        <f t="shared" si="352"/>
        <v>-6.4731977818853981E-2</v>
      </c>
      <c r="O422" s="12">
        <v>3397</v>
      </c>
      <c r="Q422" s="3"/>
      <c r="R422" s="3"/>
      <c r="S422" s="6"/>
      <c r="T422" s="7"/>
      <c r="U422" s="7"/>
      <c r="V422" s="7"/>
      <c r="W422" s="7"/>
      <c r="X422" s="7"/>
      <c r="Y422" s="7"/>
      <c r="Z422" s="7"/>
      <c r="AA422" s="7"/>
      <c r="AB422" s="7"/>
      <c r="AC422" s="7"/>
      <c r="AD422" s="7"/>
      <c r="AE422" s="8"/>
      <c r="AF422" s="8"/>
      <c r="AG422" s="12"/>
    </row>
    <row r="423" spans="1:33" ht="19.7" customHeight="1" x14ac:dyDescent="0.25">
      <c r="A423" s="6">
        <v>42798</v>
      </c>
      <c r="B423" s="7">
        <f t="shared" si="348"/>
        <v>25478</v>
      </c>
      <c r="C423" s="7">
        <v>25149</v>
      </c>
      <c r="D423" s="7">
        <v>242</v>
      </c>
      <c r="E423" s="7">
        <v>87</v>
      </c>
      <c r="F423" s="7">
        <v>0</v>
      </c>
      <c r="G423" s="7">
        <v>0</v>
      </c>
      <c r="H423" s="7">
        <v>0</v>
      </c>
      <c r="I423" s="7">
        <v>0</v>
      </c>
      <c r="J423" s="7">
        <v>0</v>
      </c>
      <c r="K423" s="7">
        <f t="shared" ref="K423:L423" si="353">IF(B423=0,"",B423-B371)</f>
        <v>-1420</v>
      </c>
      <c r="L423" s="7">
        <f t="shared" si="353"/>
        <v>-1290</v>
      </c>
      <c r="M423" s="8">
        <f t="shared" ref="M423:N423" si="354">IF(K423="","",B423/B371-1)</f>
        <v>-5.2792029147148534E-2</v>
      </c>
      <c r="N423" s="8">
        <f t="shared" si="354"/>
        <v>-4.8791557925791484E-2</v>
      </c>
      <c r="O423" s="12">
        <v>3808</v>
      </c>
      <c r="Q423" s="3"/>
      <c r="R423" s="3"/>
      <c r="S423" s="6"/>
      <c r="T423" s="7"/>
      <c r="U423" s="7"/>
      <c r="V423" s="7"/>
      <c r="W423" s="7"/>
      <c r="X423" s="7"/>
      <c r="Y423" s="7"/>
      <c r="Z423" s="7"/>
      <c r="AA423" s="7"/>
      <c r="AB423" s="7"/>
      <c r="AC423" s="7"/>
      <c r="AD423" s="7"/>
      <c r="AE423" s="8"/>
      <c r="AF423" s="8"/>
      <c r="AG423" s="12"/>
    </row>
    <row r="424" spans="1:33" ht="19.7" customHeight="1" x14ac:dyDescent="0.25">
      <c r="A424" s="6">
        <v>42805</v>
      </c>
      <c r="B424" s="7">
        <f t="shared" si="348"/>
        <v>25298</v>
      </c>
      <c r="C424" s="7">
        <v>25006</v>
      </c>
      <c r="D424" s="7">
        <v>215</v>
      </c>
      <c r="E424" s="7">
        <v>77</v>
      </c>
      <c r="F424" s="7">
        <v>0</v>
      </c>
      <c r="G424" s="7">
        <v>0</v>
      </c>
      <c r="H424" s="7">
        <v>0</v>
      </c>
      <c r="I424" s="7">
        <v>0</v>
      </c>
      <c r="J424" s="7">
        <v>0</v>
      </c>
      <c r="K424" s="7">
        <f t="shared" ref="K424:L424" si="355">IF(B424=0,"",B424-B372)</f>
        <v>-1585</v>
      </c>
      <c r="L424" s="7">
        <f t="shared" si="355"/>
        <v>-1498</v>
      </c>
      <c r="M424" s="8">
        <f t="shared" ref="M424:N424" si="356">IF(K424="","",B424/B372-1)</f>
        <v>-5.8959193542387434E-2</v>
      </c>
      <c r="N424" s="8">
        <f t="shared" si="356"/>
        <v>-5.6519770600664043E-2</v>
      </c>
      <c r="O424" s="12">
        <v>3746</v>
      </c>
      <c r="Q424" s="3"/>
      <c r="R424" s="3"/>
      <c r="S424" s="6"/>
      <c r="T424" s="7"/>
      <c r="U424" s="7"/>
      <c r="V424" s="7"/>
      <c r="W424" s="7"/>
      <c r="X424" s="7"/>
      <c r="Y424" s="7"/>
      <c r="Z424" s="7"/>
      <c r="AA424" s="7"/>
      <c r="AB424" s="7"/>
      <c r="AC424" s="7"/>
      <c r="AD424" s="7"/>
      <c r="AE424" s="8"/>
      <c r="AF424" s="8"/>
      <c r="AG424" s="12"/>
    </row>
    <row r="425" spans="1:33" ht="19.7" customHeight="1" x14ac:dyDescent="0.25">
      <c r="A425" s="6">
        <v>42812</v>
      </c>
      <c r="B425" s="7">
        <f t="shared" ref="B425" si="357">IF(SUM(C425:J425)="","",SUM(C425:J425))</f>
        <v>24686</v>
      </c>
      <c r="C425" s="7">
        <v>24402</v>
      </c>
      <c r="D425" s="7">
        <v>215</v>
      </c>
      <c r="E425" s="7">
        <v>69</v>
      </c>
      <c r="F425" s="7">
        <v>0</v>
      </c>
      <c r="G425" s="7">
        <v>0</v>
      </c>
      <c r="H425" s="7">
        <v>0</v>
      </c>
      <c r="I425" s="7">
        <v>0</v>
      </c>
      <c r="J425" s="7">
        <v>0</v>
      </c>
      <c r="K425" s="7">
        <f t="shared" ref="K425:L425" si="358">IF(B425=0,"",B425-B373)</f>
        <v>-1942</v>
      </c>
      <c r="L425" s="7">
        <f t="shared" si="358"/>
        <v>-1828</v>
      </c>
      <c r="M425" s="8">
        <f t="shared" ref="M425:N425" si="359">IF(K425="","",B425/B373-1)</f>
        <v>-7.2930749586901045E-2</v>
      </c>
      <c r="N425" s="8">
        <f t="shared" si="359"/>
        <v>-6.9691193290125852E-2</v>
      </c>
      <c r="O425" s="12">
        <v>3906</v>
      </c>
      <c r="Q425" s="3"/>
      <c r="R425" s="3"/>
      <c r="S425" s="6"/>
      <c r="T425" s="7"/>
      <c r="U425" s="7"/>
      <c r="V425" s="7"/>
      <c r="W425" s="7"/>
      <c r="X425" s="7"/>
      <c r="Y425" s="7"/>
      <c r="Z425" s="7"/>
      <c r="AA425" s="7"/>
      <c r="AB425" s="7"/>
      <c r="AC425" s="7"/>
      <c r="AD425" s="7"/>
      <c r="AE425" s="8"/>
      <c r="AF425" s="8"/>
      <c r="AG425" s="12"/>
    </row>
    <row r="426" spans="1:33" ht="19.7" customHeight="1" x14ac:dyDescent="0.25">
      <c r="A426" s="6">
        <v>42819</v>
      </c>
      <c r="B426" s="7">
        <f t="shared" si="348"/>
        <v>24572</v>
      </c>
      <c r="C426" s="7">
        <v>24300</v>
      </c>
      <c r="D426" s="7">
        <v>202</v>
      </c>
      <c r="E426" s="7">
        <v>70</v>
      </c>
      <c r="F426" s="7">
        <v>0</v>
      </c>
      <c r="G426" s="7">
        <v>0</v>
      </c>
      <c r="H426" s="7">
        <v>0</v>
      </c>
      <c r="I426" s="7">
        <v>0</v>
      </c>
      <c r="J426" s="7">
        <v>0</v>
      </c>
      <c r="K426" s="7">
        <f t="shared" ref="K426:L426" si="360">IF(B426=0,"",B426-B374)</f>
        <v>-1940</v>
      </c>
      <c r="L426" s="7">
        <f t="shared" si="360"/>
        <v>-1838</v>
      </c>
      <c r="M426" s="8">
        <f t="shared" ref="M426:N426" si="361">IF(K426="","",B426/B374-1)</f>
        <v>-7.3174411587205834E-2</v>
      </c>
      <c r="N426" s="8">
        <f t="shared" si="361"/>
        <v>-7.0319075675262077E-2</v>
      </c>
      <c r="O426" s="12">
        <v>3986</v>
      </c>
      <c r="Q426" s="3"/>
      <c r="R426" s="3"/>
      <c r="S426" s="6"/>
      <c r="T426" s="7"/>
      <c r="U426" s="7"/>
      <c r="V426" s="7"/>
      <c r="W426" s="7"/>
      <c r="X426" s="7"/>
      <c r="Y426" s="7"/>
      <c r="Z426" s="7"/>
      <c r="AA426" s="7"/>
      <c r="AB426" s="7"/>
      <c r="AC426" s="7"/>
      <c r="AD426" s="7"/>
      <c r="AE426" s="8"/>
      <c r="AF426" s="8"/>
      <c r="AG426" s="12"/>
    </row>
    <row r="427" spans="1:33" ht="19.7" customHeight="1" x14ac:dyDescent="0.25">
      <c r="A427" s="6">
        <v>42826</v>
      </c>
      <c r="B427" s="7">
        <f t="shared" si="348"/>
        <v>24610</v>
      </c>
      <c r="C427" s="7">
        <v>24321</v>
      </c>
      <c r="D427" s="7">
        <v>205</v>
      </c>
      <c r="E427" s="7">
        <v>84</v>
      </c>
      <c r="F427" s="7">
        <v>0</v>
      </c>
      <c r="G427" s="7">
        <v>0</v>
      </c>
      <c r="H427" s="7">
        <v>0</v>
      </c>
      <c r="I427" s="7">
        <v>0</v>
      </c>
      <c r="J427" s="7">
        <v>0</v>
      </c>
      <c r="K427" s="7">
        <f t="shared" ref="K427:L427" si="362">IF(B427=0,"",B427-B375)</f>
        <v>-2041</v>
      </c>
      <c r="L427" s="7">
        <f t="shared" si="362"/>
        <v>-1960</v>
      </c>
      <c r="M427" s="8">
        <f t="shared" ref="M427:N427" si="363">IF(K427="","",B427/B375-1)</f>
        <v>-7.658249221417579E-2</v>
      </c>
      <c r="N427" s="8">
        <f t="shared" si="363"/>
        <v>-7.4578592899813501E-2</v>
      </c>
      <c r="O427" s="12">
        <v>4393</v>
      </c>
      <c r="Q427" s="3"/>
      <c r="R427" s="3"/>
      <c r="S427" s="6"/>
      <c r="T427" s="7"/>
      <c r="U427" s="7"/>
      <c r="V427" s="7"/>
      <c r="W427" s="7"/>
      <c r="X427" s="7"/>
      <c r="Y427" s="7"/>
      <c r="Z427" s="7"/>
      <c r="AA427" s="7"/>
      <c r="AB427" s="7"/>
      <c r="AC427" s="7"/>
      <c r="AD427" s="7"/>
      <c r="AE427" s="8"/>
      <c r="AF427" s="8"/>
      <c r="AG427" s="12"/>
    </row>
    <row r="428" spans="1:33" ht="19.7" customHeight="1" x14ac:dyDescent="0.25">
      <c r="A428" s="6">
        <v>42833</v>
      </c>
      <c r="B428" s="7">
        <f t="shared" ref="B428:B429" si="364">IF(SUM(C428:J428)="","",SUM(C428:J428))</f>
        <v>24763</v>
      </c>
      <c r="C428" s="7">
        <v>24510</v>
      </c>
      <c r="D428" s="7">
        <v>173</v>
      </c>
      <c r="E428" s="7">
        <v>80</v>
      </c>
      <c r="F428" s="7">
        <v>0</v>
      </c>
      <c r="G428" s="7">
        <v>0</v>
      </c>
      <c r="H428" s="7">
        <v>0</v>
      </c>
      <c r="I428" s="7">
        <v>0</v>
      </c>
      <c r="J428" s="7">
        <v>0</v>
      </c>
      <c r="K428" s="7">
        <f t="shared" ref="K428:L428" si="365">IF(B428=0,"",B428-B376)</f>
        <v>-2226</v>
      </c>
      <c r="L428" s="7">
        <f t="shared" si="365"/>
        <v>-2160</v>
      </c>
      <c r="M428" s="8">
        <f t="shared" ref="M428:N428" si="366">IF(K428="","",B428/B376-1)</f>
        <v>-8.2478046611582534E-2</v>
      </c>
      <c r="N428" s="8">
        <f t="shared" si="366"/>
        <v>-8.0989876265466831E-2</v>
      </c>
      <c r="O428" s="12">
        <v>6757</v>
      </c>
      <c r="Q428" s="3"/>
      <c r="R428" s="3"/>
      <c r="S428" s="6"/>
      <c r="T428" s="7"/>
      <c r="U428" s="7"/>
      <c r="V428" s="7"/>
      <c r="W428" s="7"/>
      <c r="X428" s="7"/>
      <c r="Y428" s="7"/>
      <c r="Z428" s="7"/>
      <c r="AA428" s="7"/>
      <c r="AB428" s="7"/>
      <c r="AC428" s="7"/>
      <c r="AD428" s="7"/>
      <c r="AE428" s="8"/>
      <c r="AF428" s="8"/>
      <c r="AG428" s="12"/>
    </row>
    <row r="429" spans="1:33" ht="19.7" customHeight="1" x14ac:dyDescent="0.25">
      <c r="A429" s="6">
        <v>42840</v>
      </c>
      <c r="B429" s="7">
        <f t="shared" si="364"/>
        <v>26215</v>
      </c>
      <c r="C429" s="7">
        <v>25968</v>
      </c>
      <c r="D429" s="7">
        <v>159</v>
      </c>
      <c r="E429" s="7">
        <v>88</v>
      </c>
      <c r="F429" s="7">
        <v>0</v>
      </c>
      <c r="G429" s="7">
        <v>0</v>
      </c>
      <c r="H429" s="7">
        <v>0</v>
      </c>
      <c r="I429" s="7">
        <v>0</v>
      </c>
      <c r="J429" s="7">
        <v>0</v>
      </c>
      <c r="K429" s="7">
        <f t="shared" ref="K429:L429" si="367">IF(B429=0,"",B429-B377)</f>
        <v>-3041</v>
      </c>
      <c r="L429" s="7">
        <f t="shared" si="367"/>
        <v>-2972</v>
      </c>
      <c r="M429" s="8">
        <f t="shared" ref="M429:N429" si="368">IF(K429="","",B429/B377-1)</f>
        <v>-0.10394449001914141</v>
      </c>
      <c r="N429" s="8">
        <f t="shared" si="368"/>
        <v>-0.10269523151347615</v>
      </c>
      <c r="O429" s="12">
        <v>5285</v>
      </c>
      <c r="Q429" s="3"/>
      <c r="R429" s="3"/>
      <c r="S429" s="6"/>
      <c r="T429" s="7"/>
      <c r="U429" s="7"/>
      <c r="V429" s="7"/>
      <c r="W429" s="7"/>
      <c r="X429" s="7"/>
      <c r="Y429" s="7"/>
      <c r="Z429" s="7"/>
      <c r="AA429" s="7"/>
      <c r="AB429" s="7"/>
      <c r="AC429" s="7"/>
      <c r="AD429" s="7"/>
      <c r="AE429" s="8"/>
      <c r="AF429" s="8"/>
      <c r="AG429" s="12"/>
    </row>
    <row r="430" spans="1:33" ht="19.7" customHeight="1" x14ac:dyDescent="0.25">
      <c r="A430" s="6">
        <v>42847</v>
      </c>
      <c r="B430" s="7">
        <f t="shared" ref="B430:B431" si="369">IF(SUM(C430:J430)="","",SUM(C430:J430))</f>
        <v>28109</v>
      </c>
      <c r="C430" s="7">
        <v>27879</v>
      </c>
      <c r="D430" s="7">
        <v>137</v>
      </c>
      <c r="E430" s="7">
        <v>93</v>
      </c>
      <c r="F430" s="7">
        <v>0</v>
      </c>
      <c r="G430" s="7">
        <v>0</v>
      </c>
      <c r="H430" s="7">
        <v>0</v>
      </c>
      <c r="I430" s="7">
        <v>0</v>
      </c>
      <c r="J430" s="7">
        <v>0</v>
      </c>
      <c r="K430" s="7">
        <f t="shared" ref="K430:L430" si="370">IF(B430=0,"",B430-B378)</f>
        <v>-2880</v>
      </c>
      <c r="L430" s="7">
        <f t="shared" si="370"/>
        <v>-2814</v>
      </c>
      <c r="M430" s="8">
        <f t="shared" ref="M430:N430" si="371">IF(K430="","",B430/B378-1)</f>
        <v>-9.2936203168866416E-2</v>
      </c>
      <c r="N430" s="8">
        <f t="shared" si="371"/>
        <v>-9.1682142508063724E-2</v>
      </c>
      <c r="O430" s="12">
        <v>6013</v>
      </c>
      <c r="Q430" s="3"/>
      <c r="R430" s="3"/>
      <c r="S430" s="6"/>
      <c r="T430" s="7"/>
      <c r="U430" s="7"/>
      <c r="V430" s="7"/>
      <c r="W430" s="7"/>
      <c r="X430" s="7"/>
      <c r="Y430" s="7"/>
      <c r="Z430" s="7"/>
      <c r="AA430" s="7"/>
      <c r="AB430" s="7"/>
      <c r="AC430" s="7"/>
      <c r="AD430" s="7"/>
      <c r="AE430" s="8"/>
      <c r="AF430" s="8"/>
      <c r="AG430" s="12"/>
    </row>
    <row r="431" spans="1:33" ht="19.7" customHeight="1" x14ac:dyDescent="0.25">
      <c r="A431" s="6">
        <v>42854</v>
      </c>
      <c r="B431" s="7">
        <f t="shared" si="369"/>
        <v>29338</v>
      </c>
      <c r="C431" s="7">
        <v>29098</v>
      </c>
      <c r="D431" s="7">
        <v>143</v>
      </c>
      <c r="E431" s="7">
        <v>97</v>
      </c>
      <c r="F431" s="7">
        <v>0</v>
      </c>
      <c r="G431" s="7">
        <v>0</v>
      </c>
      <c r="H431" s="7">
        <v>0</v>
      </c>
      <c r="I431" s="7">
        <v>0</v>
      </c>
      <c r="J431" s="7">
        <v>0</v>
      </c>
      <c r="K431" s="7">
        <f t="shared" ref="K431:L431" si="372">IF(B431=0,"",B431-B379)</f>
        <v>-3191</v>
      </c>
      <c r="L431" s="7">
        <f t="shared" si="372"/>
        <v>-3159</v>
      </c>
      <c r="M431" s="8">
        <f t="shared" ref="M431:N431" si="373">IF(K431="","",B431/B379-1)</f>
        <v>-9.8097082603215591E-2</v>
      </c>
      <c r="N431" s="8">
        <f t="shared" si="373"/>
        <v>-9.7932231763648181E-2</v>
      </c>
      <c r="O431" s="12">
        <v>4767</v>
      </c>
      <c r="Q431" s="3"/>
      <c r="R431" s="3"/>
      <c r="S431" s="6"/>
      <c r="T431" s="7"/>
      <c r="U431" s="7"/>
      <c r="V431" s="7"/>
      <c r="W431" s="7"/>
      <c r="X431" s="7"/>
      <c r="Y431" s="7"/>
      <c r="Z431" s="7"/>
      <c r="AA431" s="7"/>
      <c r="AB431" s="7"/>
      <c r="AC431" s="7"/>
      <c r="AD431" s="7"/>
      <c r="AE431" s="8"/>
      <c r="AF431" s="8"/>
      <c r="AG431" s="12"/>
    </row>
    <row r="432" spans="1:33" ht="19.7" customHeight="1" x14ac:dyDescent="0.25">
      <c r="A432" s="6">
        <v>42861</v>
      </c>
      <c r="B432" s="7">
        <f t="shared" ref="B432:B433" si="374">IF(SUM(C432:J432)="","",SUM(C432:J432))</f>
        <v>30320</v>
      </c>
      <c r="C432" s="7">
        <v>30094</v>
      </c>
      <c r="D432" s="7">
        <v>130</v>
      </c>
      <c r="E432" s="7">
        <v>96</v>
      </c>
      <c r="F432" s="7">
        <v>0</v>
      </c>
      <c r="G432" s="7">
        <v>0</v>
      </c>
      <c r="H432" s="7">
        <v>0</v>
      </c>
      <c r="I432" s="7">
        <v>0</v>
      </c>
      <c r="J432" s="7">
        <v>0</v>
      </c>
      <c r="K432" s="7">
        <f t="shared" ref="K432:L432" si="375">IF(B432=0,"",B432-B380)</f>
        <v>-2894</v>
      </c>
      <c r="L432" s="7">
        <f t="shared" si="375"/>
        <v>-2842</v>
      </c>
      <c r="M432" s="8">
        <f t="shared" ref="M432:N432" si="376">IF(K432="","",B432/B380-1)</f>
        <v>-8.7131932317697336E-2</v>
      </c>
      <c r="N432" s="8">
        <f t="shared" si="376"/>
        <v>-8.6288559630799178E-2</v>
      </c>
      <c r="O432" s="12">
        <v>4519</v>
      </c>
      <c r="Q432" s="3"/>
      <c r="R432" s="3"/>
      <c r="S432" s="6"/>
      <c r="T432" s="7"/>
      <c r="U432" s="7"/>
      <c r="V432" s="7"/>
      <c r="W432" s="7"/>
      <c r="X432" s="7"/>
      <c r="Y432" s="7"/>
      <c r="Z432" s="7"/>
      <c r="AA432" s="7"/>
      <c r="AB432" s="7"/>
      <c r="AC432" s="7"/>
      <c r="AD432" s="7"/>
      <c r="AE432" s="8"/>
      <c r="AF432" s="8"/>
      <c r="AG432" s="12"/>
    </row>
    <row r="433" spans="1:33" ht="19.7" customHeight="1" x14ac:dyDescent="0.25">
      <c r="A433" s="6">
        <v>42868</v>
      </c>
      <c r="B433" s="7">
        <f t="shared" si="374"/>
        <v>29637</v>
      </c>
      <c r="C433" s="7">
        <v>29416</v>
      </c>
      <c r="D433" s="7">
        <v>121</v>
      </c>
      <c r="E433" s="7">
        <v>100</v>
      </c>
      <c r="F433" s="7">
        <v>0</v>
      </c>
      <c r="G433" s="7">
        <v>0</v>
      </c>
      <c r="H433" s="7">
        <v>0</v>
      </c>
      <c r="I433" s="7">
        <v>0</v>
      </c>
      <c r="J433" s="7">
        <v>0</v>
      </c>
      <c r="K433" s="7">
        <f t="shared" ref="K433:L433" si="377">IF(B433=0,"",B433-B381)</f>
        <v>-3327</v>
      </c>
      <c r="L433" s="7">
        <f t="shared" si="377"/>
        <v>-3278</v>
      </c>
      <c r="M433" s="8">
        <f t="shared" ref="M433:N433" si="378">IF(K433="","",B433/B381-1)</f>
        <v>-0.10092828540225696</v>
      </c>
      <c r="N433" s="8">
        <f t="shared" si="378"/>
        <v>-0.10026304520707163</v>
      </c>
      <c r="O433" s="12">
        <v>4167</v>
      </c>
      <c r="Q433" s="3"/>
      <c r="R433" s="3"/>
      <c r="S433" s="6"/>
      <c r="T433" s="7"/>
      <c r="U433" s="7"/>
      <c r="V433" s="7"/>
      <c r="W433" s="7"/>
      <c r="X433" s="7"/>
      <c r="Y433" s="7"/>
      <c r="Z433" s="7"/>
      <c r="AA433" s="7"/>
      <c r="AB433" s="7"/>
      <c r="AC433" s="7"/>
      <c r="AD433" s="7"/>
      <c r="AE433" s="8"/>
      <c r="AF433" s="8"/>
      <c r="AG433" s="12"/>
    </row>
    <row r="434" spans="1:33" ht="19.7" customHeight="1" x14ac:dyDescent="0.25">
      <c r="A434" s="6">
        <v>42875</v>
      </c>
      <c r="B434" s="7">
        <f t="shared" ref="B434:B435" si="379">IF(SUM(C434:J434)="","",SUM(C434:J434))</f>
        <v>30537</v>
      </c>
      <c r="C434" s="7">
        <v>30320</v>
      </c>
      <c r="D434" s="7">
        <v>116</v>
      </c>
      <c r="E434" s="7">
        <v>101</v>
      </c>
      <c r="F434" s="7">
        <v>0</v>
      </c>
      <c r="G434" s="7">
        <v>0</v>
      </c>
      <c r="H434" s="7">
        <v>0</v>
      </c>
      <c r="I434" s="7">
        <v>0</v>
      </c>
      <c r="J434" s="7">
        <v>0</v>
      </c>
      <c r="K434" s="7">
        <f t="shared" ref="K434:L434" si="380">IF(B434=0,"",B434-B382)</f>
        <v>-2948</v>
      </c>
      <c r="L434" s="7">
        <f t="shared" si="380"/>
        <v>-2895</v>
      </c>
      <c r="M434" s="8">
        <f t="shared" ref="M434:N434" si="381">IF(K434="","",B434/B382-1)</f>
        <v>-8.8039420636105703E-2</v>
      </c>
      <c r="N434" s="8">
        <f t="shared" si="381"/>
        <v>-8.7159415926539197E-2</v>
      </c>
      <c r="O434" s="12">
        <v>4153</v>
      </c>
      <c r="Q434" s="3"/>
      <c r="R434" s="3"/>
      <c r="S434" s="6"/>
      <c r="T434" s="7"/>
      <c r="U434" s="7"/>
      <c r="V434" s="7"/>
      <c r="W434" s="7"/>
      <c r="X434" s="7"/>
      <c r="Y434" s="7"/>
      <c r="Z434" s="7"/>
      <c r="AA434" s="7"/>
      <c r="AB434" s="7"/>
      <c r="AC434" s="7"/>
      <c r="AD434" s="7"/>
      <c r="AE434" s="8"/>
      <c r="AF434" s="8"/>
      <c r="AG434" s="12"/>
    </row>
    <row r="435" spans="1:33" ht="19.7" customHeight="1" x14ac:dyDescent="0.25">
      <c r="A435" s="6">
        <v>42882</v>
      </c>
      <c r="B435" s="7">
        <f t="shared" si="379"/>
        <v>29675</v>
      </c>
      <c r="C435" s="7">
        <v>29457</v>
      </c>
      <c r="D435" s="7">
        <v>121</v>
      </c>
      <c r="E435" s="7">
        <v>97</v>
      </c>
      <c r="F435" s="7">
        <v>0</v>
      </c>
      <c r="G435" s="7">
        <v>0</v>
      </c>
      <c r="H435" s="7">
        <v>0</v>
      </c>
      <c r="I435" s="7">
        <v>0</v>
      </c>
      <c r="J435" s="7">
        <v>0</v>
      </c>
      <c r="K435" s="7">
        <f t="shared" ref="K435:L435" si="382">IF(B435=0,"",B435-B383)</f>
        <v>-3362</v>
      </c>
      <c r="L435" s="7">
        <f t="shared" si="382"/>
        <v>-3331</v>
      </c>
      <c r="M435" s="8">
        <f t="shared" ref="M435:N435" si="383">IF(K435="","",B435/B383-1)</f>
        <v>-0.10176468807700456</v>
      </c>
      <c r="N435" s="8">
        <f t="shared" si="383"/>
        <v>-0.10159204587044035</v>
      </c>
      <c r="O435" s="12">
        <v>4379</v>
      </c>
      <c r="Q435" s="3"/>
      <c r="R435" s="3"/>
      <c r="S435" s="6"/>
      <c r="T435" s="7"/>
      <c r="U435" s="7"/>
      <c r="V435" s="7"/>
      <c r="W435" s="7"/>
      <c r="X435" s="7"/>
      <c r="Y435" s="7"/>
      <c r="Z435" s="7"/>
      <c r="AA435" s="7"/>
      <c r="AB435" s="7"/>
      <c r="AC435" s="7"/>
      <c r="AD435" s="7"/>
      <c r="AE435" s="8"/>
      <c r="AF435" s="8"/>
      <c r="AG435" s="12"/>
    </row>
    <row r="436" spans="1:33" ht="19.7" customHeight="1" x14ac:dyDescent="0.25">
      <c r="A436" s="6">
        <v>42889</v>
      </c>
      <c r="B436" s="7">
        <f t="shared" ref="B436:B437" si="384">IF(SUM(C436:J436)="","",SUM(C436:J436))</f>
        <v>29599</v>
      </c>
      <c r="C436" s="7">
        <v>29366</v>
      </c>
      <c r="D436" s="7">
        <v>149</v>
      </c>
      <c r="E436" s="7">
        <v>84</v>
      </c>
      <c r="F436" s="7">
        <v>0</v>
      </c>
      <c r="G436" s="7">
        <v>0</v>
      </c>
      <c r="H436" s="7">
        <v>0</v>
      </c>
      <c r="I436" s="7">
        <v>0</v>
      </c>
      <c r="J436" s="7">
        <v>0</v>
      </c>
      <c r="K436" s="7">
        <f t="shared" ref="K436:L436" si="385">IF(B436=0,"",B436-B384)</f>
        <v>-4088</v>
      </c>
      <c r="L436" s="7">
        <f t="shared" si="385"/>
        <v>-4014</v>
      </c>
      <c r="M436" s="8">
        <f t="shared" ref="M436:N436" si="386">IF(K436="","",B436/B384-1)</f>
        <v>-0.12135245050019294</v>
      </c>
      <c r="N436" s="8">
        <f t="shared" si="386"/>
        <v>-0.12025164769322949</v>
      </c>
      <c r="O436" s="12">
        <v>4754</v>
      </c>
      <c r="Q436" s="3"/>
      <c r="R436" s="3"/>
      <c r="S436" s="6"/>
      <c r="T436" s="7"/>
      <c r="U436" s="7"/>
      <c r="V436" s="7"/>
      <c r="W436" s="7"/>
      <c r="X436" s="7"/>
      <c r="Y436" s="7"/>
      <c r="Z436" s="7"/>
      <c r="AA436" s="7"/>
      <c r="AB436" s="7"/>
      <c r="AC436" s="7"/>
      <c r="AD436" s="7"/>
      <c r="AE436" s="8"/>
      <c r="AF436" s="8"/>
      <c r="AG436" s="12"/>
    </row>
    <row r="437" spans="1:33" ht="19.7" customHeight="1" x14ac:dyDescent="0.25">
      <c r="A437" s="6">
        <v>42896</v>
      </c>
      <c r="B437" s="7">
        <f t="shared" si="384"/>
        <v>30475</v>
      </c>
      <c r="C437" s="7">
        <v>30215</v>
      </c>
      <c r="D437" s="7">
        <v>166</v>
      </c>
      <c r="E437" s="7">
        <v>94</v>
      </c>
      <c r="F437" s="7">
        <v>0</v>
      </c>
      <c r="G437" s="7">
        <v>0</v>
      </c>
      <c r="H437" s="7">
        <v>0</v>
      </c>
      <c r="I437" s="7">
        <v>0</v>
      </c>
      <c r="J437" s="7">
        <v>0</v>
      </c>
      <c r="K437" s="7">
        <f t="shared" ref="K437:L437" si="387">IF(B437=0,"",B437-B385)</f>
        <v>-3903</v>
      </c>
      <c r="L437" s="7">
        <f t="shared" si="387"/>
        <v>-3796</v>
      </c>
      <c r="M437" s="8">
        <f t="shared" ref="M437:N437" si="388">IF(K437="","",B437/B385-1)</f>
        <v>-0.11353190994240503</v>
      </c>
      <c r="N437" s="8">
        <f t="shared" si="388"/>
        <v>-0.11161094939872396</v>
      </c>
      <c r="O437" s="12">
        <v>4779</v>
      </c>
      <c r="Q437" s="3"/>
      <c r="R437" s="3"/>
      <c r="S437" s="6"/>
      <c r="T437" s="7"/>
      <c r="U437" s="7"/>
      <c r="V437" s="7"/>
      <c r="W437" s="7"/>
      <c r="X437" s="7"/>
      <c r="Y437" s="7"/>
      <c r="Z437" s="7"/>
      <c r="AA437" s="7"/>
      <c r="AB437" s="7"/>
      <c r="AC437" s="7"/>
      <c r="AD437" s="7"/>
      <c r="AE437" s="8"/>
      <c r="AF437" s="8"/>
      <c r="AG437" s="12"/>
    </row>
    <row r="438" spans="1:33" ht="19.7" customHeight="1" x14ac:dyDescent="0.25">
      <c r="A438" s="6">
        <v>42903</v>
      </c>
      <c r="B438" s="7">
        <f t="shared" ref="B438:B439" si="389">IF(SUM(C438:J438)="","",SUM(C438:J438))</f>
        <v>30981</v>
      </c>
      <c r="C438" s="7">
        <v>30703</v>
      </c>
      <c r="D438" s="7">
        <v>190</v>
      </c>
      <c r="E438" s="7">
        <v>88</v>
      </c>
      <c r="F438" s="7">
        <v>0</v>
      </c>
      <c r="G438" s="7">
        <v>0</v>
      </c>
      <c r="H438" s="7">
        <v>0</v>
      </c>
      <c r="I438" s="7">
        <v>0</v>
      </c>
      <c r="J438" s="7">
        <v>0</v>
      </c>
      <c r="K438" s="7">
        <f t="shared" ref="K438:L438" si="390">IF(B438=0,"",B438-B386)</f>
        <v>-4254</v>
      </c>
      <c r="L438" s="7">
        <f t="shared" si="390"/>
        <v>-4161</v>
      </c>
      <c r="M438" s="8">
        <f t="shared" ref="M438:N438" si="391">IF(K438="","",B438/B386-1)</f>
        <v>-0.12073222647935289</v>
      </c>
      <c r="N438" s="8">
        <f t="shared" si="391"/>
        <v>-0.11934947223497017</v>
      </c>
      <c r="O438" s="12">
        <v>4734</v>
      </c>
      <c r="Q438" s="3"/>
      <c r="R438" s="3"/>
      <c r="S438" s="6"/>
      <c r="T438" s="7"/>
      <c r="U438" s="7"/>
      <c r="V438" s="7"/>
      <c r="W438" s="7"/>
      <c r="X438" s="7"/>
      <c r="Y438" s="7"/>
      <c r="Z438" s="7"/>
      <c r="AA438" s="7"/>
      <c r="AB438" s="7"/>
      <c r="AC438" s="7"/>
      <c r="AD438" s="7"/>
      <c r="AE438" s="8"/>
      <c r="AF438" s="8"/>
      <c r="AG438" s="12"/>
    </row>
    <row r="439" spans="1:33" ht="19.7" customHeight="1" x14ac:dyDescent="0.25">
      <c r="A439" s="6">
        <v>42910</v>
      </c>
      <c r="B439" s="7">
        <f t="shared" si="389"/>
        <v>31217</v>
      </c>
      <c r="C439" s="7">
        <v>30913</v>
      </c>
      <c r="D439" s="7">
        <v>210</v>
      </c>
      <c r="E439" s="7">
        <v>94</v>
      </c>
      <c r="F439" s="7">
        <v>0</v>
      </c>
      <c r="G439" s="7">
        <v>0</v>
      </c>
      <c r="H439" s="7">
        <v>0</v>
      </c>
      <c r="I439" s="7">
        <v>0</v>
      </c>
      <c r="J439" s="7">
        <v>0</v>
      </c>
      <c r="K439" s="7">
        <f t="shared" ref="K439:L439" si="392">IF(B439=0,"",B439-B387)</f>
        <v>-3695</v>
      </c>
      <c r="L439" s="7">
        <f t="shared" si="392"/>
        <v>-3618</v>
      </c>
      <c r="M439" s="8">
        <f t="shared" ref="M439:N439" si="393">IF(K439="","",B439/B387-1)</f>
        <v>-0.10583753437213561</v>
      </c>
      <c r="N439" s="8">
        <f t="shared" si="393"/>
        <v>-0.10477541918855526</v>
      </c>
      <c r="O439" s="12">
        <v>4433</v>
      </c>
      <c r="Q439" s="3"/>
      <c r="R439" s="3"/>
      <c r="S439" s="6"/>
      <c r="T439" s="7"/>
      <c r="U439" s="7"/>
      <c r="V439" s="7"/>
      <c r="W439" s="7"/>
      <c r="X439" s="7"/>
      <c r="Y439" s="7"/>
      <c r="Z439" s="7"/>
      <c r="AA439" s="7"/>
      <c r="AB439" s="7"/>
      <c r="AC439" s="7"/>
      <c r="AD439" s="7"/>
      <c r="AE439" s="8"/>
      <c r="AF439" s="8"/>
      <c r="AG439" s="12"/>
    </row>
    <row r="440" spans="1:33" ht="19.7" customHeight="1" x14ac:dyDescent="0.25">
      <c r="A440" s="6">
        <v>42917</v>
      </c>
      <c r="B440" s="7">
        <f t="shared" ref="B440:B441" si="394">IF(SUM(C440:J440)="","",SUM(C440:J440))</f>
        <v>31952</v>
      </c>
      <c r="C440" s="7">
        <v>31638</v>
      </c>
      <c r="D440" s="7">
        <v>219</v>
      </c>
      <c r="E440" s="7">
        <v>95</v>
      </c>
      <c r="F440" s="7">
        <v>0</v>
      </c>
      <c r="G440" s="7">
        <v>0</v>
      </c>
      <c r="H440" s="7">
        <v>0</v>
      </c>
      <c r="I440" s="7">
        <v>0</v>
      </c>
      <c r="J440" s="7">
        <v>0</v>
      </c>
      <c r="K440" s="7">
        <f t="shared" ref="K440:L440" si="395">IF(B440=0,"",B440-B388)</f>
        <v>-3733</v>
      </c>
      <c r="L440" s="7">
        <f t="shared" si="395"/>
        <v>-3673</v>
      </c>
      <c r="M440" s="8">
        <f t="shared" ref="M440:N440" si="396">IF(K440="","",B440/B388-1)</f>
        <v>-0.10460978001961607</v>
      </c>
      <c r="N440" s="8">
        <f t="shared" si="396"/>
        <v>-0.10401857778029511</v>
      </c>
      <c r="O440" s="12">
        <v>5040</v>
      </c>
      <c r="Q440" s="3"/>
      <c r="R440" s="3"/>
      <c r="S440" s="6"/>
      <c r="T440" s="7"/>
      <c r="U440" s="7"/>
      <c r="V440" s="7"/>
      <c r="W440" s="7"/>
      <c r="X440" s="7"/>
      <c r="Y440" s="7"/>
      <c r="Z440" s="7"/>
      <c r="AA440" s="7"/>
      <c r="AB440" s="7"/>
      <c r="AC440" s="7"/>
      <c r="AD440" s="7"/>
      <c r="AE440" s="8"/>
      <c r="AF440" s="8"/>
      <c r="AG440" s="12"/>
    </row>
    <row r="441" spans="1:33" ht="19.7" customHeight="1" x14ac:dyDescent="0.25">
      <c r="A441" s="6">
        <v>42924</v>
      </c>
      <c r="B441" s="7">
        <f t="shared" si="394"/>
        <v>31442</v>
      </c>
      <c r="C441" s="7">
        <v>31145</v>
      </c>
      <c r="D441" s="7">
        <v>214</v>
      </c>
      <c r="E441" s="7">
        <v>83</v>
      </c>
      <c r="F441" s="7">
        <v>0</v>
      </c>
      <c r="G441" s="7">
        <v>0</v>
      </c>
      <c r="H441" s="7">
        <v>0</v>
      </c>
      <c r="I441" s="7">
        <v>0</v>
      </c>
      <c r="J441" s="7">
        <v>0</v>
      </c>
      <c r="K441" s="7">
        <f t="shared" ref="K441:L441" si="397">IF(B441=0,"",B441-B389)</f>
        <v>-3858</v>
      </c>
      <c r="L441" s="7">
        <f t="shared" si="397"/>
        <v>-3791</v>
      </c>
      <c r="M441" s="8">
        <f t="shared" ref="M441:N441" si="398">IF(K441="","",B441/B389-1)</f>
        <v>-0.10929178470254952</v>
      </c>
      <c r="N441" s="8">
        <f t="shared" si="398"/>
        <v>-0.10851270895351495</v>
      </c>
      <c r="O441" s="12">
        <v>6141</v>
      </c>
      <c r="Q441" s="3"/>
      <c r="R441" s="3"/>
      <c r="S441" s="6"/>
      <c r="T441" s="7"/>
      <c r="U441" s="7"/>
      <c r="V441" s="7"/>
      <c r="W441" s="7"/>
      <c r="X441" s="7"/>
      <c r="Y441" s="7"/>
      <c r="Z441" s="7"/>
      <c r="AA441" s="7"/>
      <c r="AB441" s="7"/>
      <c r="AC441" s="7"/>
      <c r="AD441" s="7"/>
      <c r="AE441" s="8"/>
      <c r="AF441" s="8"/>
      <c r="AG441" s="12"/>
    </row>
    <row r="442" spans="1:33" ht="19.7" customHeight="1" x14ac:dyDescent="0.25">
      <c r="A442" s="6">
        <v>42931</v>
      </c>
      <c r="B442" s="7">
        <f t="shared" ref="B442:B443" si="399">IF(SUM(C442:J442)="","",SUM(C442:J442))</f>
        <v>34517</v>
      </c>
      <c r="C442" s="7">
        <v>34178</v>
      </c>
      <c r="D442" s="7">
        <v>244</v>
      </c>
      <c r="E442" s="7">
        <v>95</v>
      </c>
      <c r="F442" s="7">
        <v>0</v>
      </c>
      <c r="G442" s="7">
        <v>0</v>
      </c>
      <c r="H442" s="7">
        <v>0</v>
      </c>
      <c r="I442" s="7">
        <v>0</v>
      </c>
      <c r="J442" s="7">
        <v>0</v>
      </c>
      <c r="K442" s="7">
        <f t="shared" ref="K442:L442" si="400">IF(B442=0,"",B442-B390)</f>
        <v>-3801</v>
      </c>
      <c r="L442" s="7">
        <f t="shared" si="400"/>
        <v>-3731</v>
      </c>
      <c r="M442" s="8">
        <f t="shared" ref="M442:N442" si="401">IF(K442="","",B442/B390-1)</f>
        <v>-9.9196200219218156E-2</v>
      </c>
      <c r="N442" s="8">
        <f t="shared" si="401"/>
        <v>-9.8419900287530671E-2</v>
      </c>
      <c r="O442" s="12">
        <v>5101</v>
      </c>
      <c r="Q442" s="3"/>
      <c r="R442" s="3"/>
      <c r="S442" s="6"/>
      <c r="T442" s="7"/>
      <c r="U442" s="7"/>
      <c r="V442" s="7"/>
      <c r="W442" s="7"/>
      <c r="X442" s="7"/>
      <c r="Y442" s="7"/>
      <c r="Z442" s="7"/>
      <c r="AA442" s="7"/>
      <c r="AB442" s="7"/>
      <c r="AC442" s="7"/>
      <c r="AD442" s="7"/>
      <c r="AE442" s="8"/>
      <c r="AF442" s="8"/>
      <c r="AG442" s="12"/>
    </row>
    <row r="443" spans="1:33" ht="19.7" customHeight="1" x14ac:dyDescent="0.25">
      <c r="A443" s="6">
        <v>42938</v>
      </c>
      <c r="B443" s="7">
        <f t="shared" si="399"/>
        <v>34544</v>
      </c>
      <c r="C443" s="7">
        <v>34213</v>
      </c>
      <c r="D443" s="7">
        <v>241</v>
      </c>
      <c r="E443" s="7">
        <v>90</v>
      </c>
      <c r="F443" s="7">
        <v>0</v>
      </c>
      <c r="G443" s="7">
        <v>0</v>
      </c>
      <c r="H443" s="7">
        <v>0</v>
      </c>
      <c r="I443" s="7">
        <v>0</v>
      </c>
      <c r="J443" s="7">
        <v>0</v>
      </c>
      <c r="K443" s="7">
        <f t="shared" ref="K443:L443" si="402">IF(B443=0,"",B443-B391)</f>
        <v>-4098</v>
      </c>
      <c r="L443" s="7">
        <f t="shared" si="402"/>
        <v>-4006</v>
      </c>
      <c r="M443" s="8">
        <f t="shared" ref="M443:N443" si="403">IF(K443="","",B443/B391-1)</f>
        <v>-0.10605041146938565</v>
      </c>
      <c r="N443" s="8">
        <f t="shared" si="403"/>
        <v>-0.10481697584970828</v>
      </c>
      <c r="O443" s="12">
        <v>4931</v>
      </c>
      <c r="Q443" s="3"/>
      <c r="R443" s="3"/>
      <c r="S443" s="6"/>
      <c r="T443" s="7"/>
      <c r="U443" s="7"/>
      <c r="V443" s="7"/>
      <c r="W443" s="7"/>
      <c r="X443" s="7"/>
      <c r="Y443" s="7"/>
      <c r="Z443" s="7"/>
      <c r="AA443" s="7"/>
      <c r="AB443" s="7"/>
      <c r="AC443" s="7"/>
      <c r="AD443" s="7"/>
      <c r="AE443" s="8"/>
      <c r="AF443" s="8"/>
      <c r="AG443" s="12"/>
    </row>
    <row r="444" spans="1:33" ht="19.7" customHeight="1" x14ac:dyDescent="0.25">
      <c r="A444" s="6">
        <v>42945</v>
      </c>
      <c r="B444" s="7">
        <f t="shared" ref="B444:B445" si="404">IF(SUM(C444:J444)="","",SUM(C444:J444))</f>
        <v>35392</v>
      </c>
      <c r="C444" s="7">
        <v>35068</v>
      </c>
      <c r="D444" s="7">
        <v>237</v>
      </c>
      <c r="E444" s="7">
        <v>87</v>
      </c>
      <c r="F444" s="7">
        <v>0</v>
      </c>
      <c r="G444" s="7">
        <v>0</v>
      </c>
      <c r="H444" s="7">
        <v>0</v>
      </c>
      <c r="I444" s="7">
        <v>0</v>
      </c>
      <c r="J444" s="7">
        <v>0</v>
      </c>
      <c r="K444" s="7">
        <f t="shared" ref="K444:L444" si="405">IF(B444=0,"",B444-B392)</f>
        <v>-3701</v>
      </c>
      <c r="L444" s="7">
        <f t="shared" si="405"/>
        <v>-3609</v>
      </c>
      <c r="M444" s="8">
        <f t="shared" ref="M444:N444" si="406">IF(K444="","",B444/B392-1)</f>
        <v>-9.4671680351981147E-2</v>
      </c>
      <c r="N444" s="8">
        <f t="shared" si="406"/>
        <v>-9.3311270263981227E-2</v>
      </c>
      <c r="O444" s="12">
        <v>4283</v>
      </c>
      <c r="Q444" s="3"/>
      <c r="R444" s="3"/>
      <c r="S444" s="6"/>
      <c r="T444" s="7"/>
      <c r="U444" s="7"/>
      <c r="V444" s="7"/>
      <c r="W444" s="7"/>
      <c r="X444" s="7"/>
      <c r="Y444" s="7"/>
      <c r="Z444" s="7"/>
      <c r="AA444" s="7"/>
      <c r="AB444" s="7"/>
      <c r="AC444" s="7"/>
      <c r="AD444" s="7"/>
      <c r="AE444" s="8"/>
      <c r="AF444" s="8"/>
      <c r="AG444" s="12"/>
    </row>
    <row r="445" spans="1:33" ht="19.7" customHeight="1" x14ac:dyDescent="0.25">
      <c r="A445" s="6">
        <v>42952</v>
      </c>
      <c r="B445" s="7">
        <f t="shared" si="404"/>
        <v>34880</v>
      </c>
      <c r="C445" s="7">
        <v>34653</v>
      </c>
      <c r="D445" s="7">
        <v>149</v>
      </c>
      <c r="E445" s="7">
        <v>78</v>
      </c>
      <c r="F445" s="7">
        <v>0</v>
      </c>
      <c r="G445" s="7">
        <v>0</v>
      </c>
      <c r="H445" s="7">
        <v>0</v>
      </c>
      <c r="I445" s="7">
        <v>0</v>
      </c>
      <c r="J445" s="7">
        <v>0</v>
      </c>
      <c r="K445" s="7">
        <f t="shared" ref="K445:L445" si="407">IF(B445=0,"",B445-B393)</f>
        <v>-3372</v>
      </c>
      <c r="L445" s="7">
        <f t="shared" si="407"/>
        <v>-3267</v>
      </c>
      <c r="M445" s="8">
        <f t="shared" ref="M445:N445" si="408">IF(K445="","",B445/B393-1)</f>
        <v>-8.8152253476942333E-2</v>
      </c>
      <c r="N445" s="8">
        <f t="shared" si="408"/>
        <v>-8.61550632911392E-2</v>
      </c>
      <c r="O445" s="12">
        <v>4507</v>
      </c>
      <c r="Q445" s="3"/>
      <c r="R445" s="3"/>
      <c r="S445" s="6"/>
      <c r="T445" s="7"/>
      <c r="U445" s="7"/>
      <c r="V445" s="7"/>
      <c r="W445" s="7"/>
      <c r="X445" s="7"/>
      <c r="Y445" s="7"/>
      <c r="Z445" s="7"/>
      <c r="AA445" s="7"/>
      <c r="AB445" s="7"/>
      <c r="AC445" s="7"/>
      <c r="AD445" s="7"/>
      <c r="AE445" s="8"/>
      <c r="AF445" s="8"/>
      <c r="AG445" s="12"/>
    </row>
    <row r="446" spans="1:33" ht="19.7" customHeight="1" x14ac:dyDescent="0.25">
      <c r="A446" s="6">
        <v>42959</v>
      </c>
      <c r="B446" s="7">
        <f t="shared" ref="B446:B447" si="409">IF(SUM(C446:J446)="","",SUM(C446:J446))</f>
        <v>34536</v>
      </c>
      <c r="C446" s="7">
        <v>34329</v>
      </c>
      <c r="D446" s="7">
        <v>121</v>
      </c>
      <c r="E446" s="7">
        <v>86</v>
      </c>
      <c r="F446" s="7">
        <v>0</v>
      </c>
      <c r="G446" s="7">
        <v>0</v>
      </c>
      <c r="H446" s="7">
        <v>0</v>
      </c>
      <c r="I446" s="7">
        <v>0</v>
      </c>
      <c r="J446" s="7">
        <v>0</v>
      </c>
      <c r="K446" s="7">
        <f t="shared" ref="K446:L446" si="410">IF(B446=0,"",B446-B394)</f>
        <v>-3248</v>
      </c>
      <c r="L446" s="7">
        <f t="shared" si="410"/>
        <v>-3173</v>
      </c>
      <c r="M446" s="8">
        <f t="shared" ref="M446:N446" si="411">IF(K446="","",B446/B394-1)</f>
        <v>-8.5962312089773452E-2</v>
      </c>
      <c r="N446" s="8">
        <f t="shared" si="411"/>
        <v>-8.4608820862887346E-2</v>
      </c>
      <c r="O446" s="12">
        <v>4230</v>
      </c>
      <c r="Q446" s="3"/>
      <c r="R446" s="3"/>
      <c r="S446" s="6"/>
      <c r="T446" s="7"/>
      <c r="U446" s="7"/>
      <c r="V446" s="7"/>
      <c r="W446" s="7"/>
      <c r="X446" s="7"/>
      <c r="Y446" s="7"/>
      <c r="Z446" s="7"/>
      <c r="AA446" s="7"/>
      <c r="AB446" s="7"/>
      <c r="AC446" s="7"/>
      <c r="AD446" s="7"/>
      <c r="AE446" s="8"/>
      <c r="AF446" s="8"/>
      <c r="AG446" s="12"/>
    </row>
    <row r="447" spans="1:33" ht="19.7" customHeight="1" x14ac:dyDescent="0.25">
      <c r="A447" s="6">
        <v>42966</v>
      </c>
      <c r="B447" s="7">
        <f t="shared" si="409"/>
        <v>33643</v>
      </c>
      <c r="C447" s="7">
        <v>33451</v>
      </c>
      <c r="D447" s="7">
        <v>101</v>
      </c>
      <c r="E447" s="7">
        <v>91</v>
      </c>
      <c r="F447" s="7">
        <v>0</v>
      </c>
      <c r="G447" s="7">
        <v>0</v>
      </c>
      <c r="H447" s="7">
        <v>0</v>
      </c>
      <c r="I447" s="7">
        <v>0</v>
      </c>
      <c r="J447" s="7">
        <v>0</v>
      </c>
      <c r="K447" s="7">
        <f t="shared" ref="K447:L447" si="412">IF(B447=0,"",B447-B395)</f>
        <v>-3436</v>
      </c>
      <c r="L447" s="7">
        <f t="shared" si="412"/>
        <v>-3349</v>
      </c>
      <c r="M447" s="8">
        <f t="shared" ref="M447:N447" si="413">IF(K447="","",B447/B395-1)</f>
        <v>-9.2667008279619156E-2</v>
      </c>
      <c r="N447" s="8">
        <f t="shared" si="413"/>
        <v>-9.1005434782608696E-2</v>
      </c>
      <c r="O447" s="12">
        <v>3985</v>
      </c>
      <c r="Q447" s="3"/>
      <c r="R447" s="3"/>
      <c r="S447" s="6"/>
      <c r="T447" s="7"/>
      <c r="U447" s="7"/>
      <c r="V447" s="7"/>
      <c r="W447" s="7"/>
      <c r="X447" s="7"/>
      <c r="Y447" s="7"/>
      <c r="Z447" s="7"/>
      <c r="AA447" s="7"/>
      <c r="AB447" s="7"/>
      <c r="AC447" s="7"/>
      <c r="AD447" s="7"/>
      <c r="AE447" s="8"/>
      <c r="AF447" s="8"/>
      <c r="AG447" s="12"/>
    </row>
    <row r="448" spans="1:33" ht="19.7" customHeight="1" x14ac:dyDescent="0.25">
      <c r="A448" s="6">
        <v>42973</v>
      </c>
      <c r="B448" s="7">
        <f t="shared" ref="B448:B449" si="414">IF(SUM(C448:J448)="","",SUM(C448:J448))</f>
        <v>33251</v>
      </c>
      <c r="C448" s="7">
        <v>33056</v>
      </c>
      <c r="D448" s="7">
        <v>99</v>
      </c>
      <c r="E448" s="7">
        <v>96</v>
      </c>
      <c r="F448" s="7">
        <v>0</v>
      </c>
      <c r="G448" s="7">
        <v>0</v>
      </c>
      <c r="H448" s="7">
        <v>0</v>
      </c>
      <c r="I448" s="7">
        <v>0</v>
      </c>
      <c r="J448" s="7">
        <v>0</v>
      </c>
      <c r="K448" s="7">
        <f t="shared" ref="K448:L448" si="415">IF(B448=0,"",B448-B396)</f>
        <v>-2852</v>
      </c>
      <c r="L448" s="7">
        <f t="shared" si="415"/>
        <v>-2781</v>
      </c>
      <c r="M448" s="8">
        <f t="shared" ref="M448:N448" si="416">IF(K448="","",B448/B396-1)</f>
        <v>-7.8996205301498534E-2</v>
      </c>
      <c r="N448" s="8">
        <f t="shared" si="416"/>
        <v>-7.7601361721126194E-2</v>
      </c>
      <c r="O448" s="12">
        <v>3772</v>
      </c>
      <c r="Q448" s="3"/>
      <c r="R448" s="3"/>
      <c r="S448" s="6"/>
      <c r="T448" s="7"/>
      <c r="U448" s="7"/>
      <c r="V448" s="7"/>
      <c r="W448" s="7"/>
      <c r="X448" s="7"/>
      <c r="Y448" s="7"/>
      <c r="Z448" s="7"/>
      <c r="AA448" s="7"/>
      <c r="AB448" s="7"/>
      <c r="AC448" s="7"/>
      <c r="AD448" s="7"/>
      <c r="AE448" s="8"/>
      <c r="AF448" s="8"/>
      <c r="AG448" s="12"/>
    </row>
    <row r="449" spans="1:33" ht="19.7" customHeight="1" x14ac:dyDescent="0.25">
      <c r="A449" s="6">
        <v>42980</v>
      </c>
      <c r="B449" s="7">
        <f t="shared" si="414"/>
        <v>31921</v>
      </c>
      <c r="C449" s="7">
        <v>31730</v>
      </c>
      <c r="D449" s="7">
        <v>101</v>
      </c>
      <c r="E449" s="7">
        <v>90</v>
      </c>
      <c r="F449" s="7">
        <v>0</v>
      </c>
      <c r="G449" s="7">
        <v>0</v>
      </c>
      <c r="H449" s="7">
        <v>0</v>
      </c>
      <c r="I449" s="7">
        <v>0</v>
      </c>
      <c r="J449" s="7">
        <v>0</v>
      </c>
      <c r="K449" s="7">
        <f t="shared" ref="K449:L449" si="417">IF(B449=0,"",B449-B397)</f>
        <v>-2913</v>
      </c>
      <c r="L449" s="7">
        <f t="shared" si="417"/>
        <v>-2849</v>
      </c>
      <c r="M449" s="8">
        <f t="shared" ref="M449:N449" si="418">IF(K449="","",B449/B397-1)</f>
        <v>-8.3625193776195705E-2</v>
      </c>
      <c r="N449" s="8">
        <f t="shared" si="418"/>
        <v>-8.2391046588970229E-2</v>
      </c>
      <c r="O449" s="12">
        <v>3949</v>
      </c>
      <c r="Q449" s="3"/>
      <c r="R449" s="3"/>
      <c r="S449" s="6"/>
      <c r="T449" s="7"/>
      <c r="U449" s="7"/>
      <c r="V449" s="7"/>
      <c r="W449" s="7"/>
      <c r="X449" s="7"/>
      <c r="Y449" s="7"/>
      <c r="Z449" s="7"/>
      <c r="AA449" s="7"/>
      <c r="AB449" s="7"/>
      <c r="AC449" s="7"/>
      <c r="AD449" s="7"/>
      <c r="AE449" s="8"/>
      <c r="AF449" s="8"/>
      <c r="AG449" s="12"/>
    </row>
    <row r="450" spans="1:33" ht="19.7" customHeight="1" x14ac:dyDescent="0.25">
      <c r="A450" s="6">
        <v>42987</v>
      </c>
      <c r="B450" s="7">
        <f t="shared" ref="B450:B451" si="419">IF(SUM(C450:J450)="","",SUM(C450:J450))</f>
        <v>30561</v>
      </c>
      <c r="C450" s="7">
        <v>30376</v>
      </c>
      <c r="D450" s="7">
        <v>96</v>
      </c>
      <c r="E450" s="7">
        <v>89</v>
      </c>
      <c r="F450" s="7">
        <v>0</v>
      </c>
      <c r="G450" s="7">
        <v>0</v>
      </c>
      <c r="H450" s="7">
        <v>0</v>
      </c>
      <c r="I450" s="7">
        <v>0</v>
      </c>
      <c r="J450" s="7">
        <v>0</v>
      </c>
      <c r="K450" s="7">
        <f t="shared" ref="K450:L450" si="420">IF(B450=0,"",B450-B398)</f>
        <v>-2646</v>
      </c>
      <c r="L450" s="7">
        <f t="shared" si="420"/>
        <v>-2560</v>
      </c>
      <c r="M450" s="8">
        <f t="shared" ref="M450:N450" si="421">IF(K450="","",B450/B398-1)</f>
        <v>-7.9681994760140928E-2</v>
      </c>
      <c r="N450" s="8">
        <f t="shared" si="421"/>
        <v>-7.7726499878552291E-2</v>
      </c>
      <c r="O450" s="12">
        <v>3411</v>
      </c>
      <c r="Q450" s="3"/>
      <c r="R450" s="3"/>
      <c r="S450" s="6"/>
      <c r="T450" s="7"/>
      <c r="U450" s="7"/>
      <c r="V450" s="7"/>
      <c r="W450" s="7"/>
      <c r="X450" s="7"/>
      <c r="Y450" s="7"/>
      <c r="Z450" s="7"/>
      <c r="AA450" s="7"/>
      <c r="AB450" s="7"/>
      <c r="AC450" s="7"/>
      <c r="AD450" s="7"/>
      <c r="AE450" s="8"/>
      <c r="AF450" s="8"/>
      <c r="AG450" s="12"/>
    </row>
    <row r="451" spans="1:33" ht="19.7" customHeight="1" x14ac:dyDescent="0.25">
      <c r="A451" s="6">
        <v>42994</v>
      </c>
      <c r="B451" s="7">
        <f t="shared" si="419"/>
        <v>29718</v>
      </c>
      <c r="C451" s="7">
        <v>29534</v>
      </c>
      <c r="D451" s="7">
        <v>95</v>
      </c>
      <c r="E451" s="7">
        <v>89</v>
      </c>
      <c r="F451" s="7">
        <v>0</v>
      </c>
      <c r="G451" s="7">
        <v>0</v>
      </c>
      <c r="H451" s="7">
        <v>0</v>
      </c>
      <c r="I451" s="7">
        <v>0</v>
      </c>
      <c r="J451" s="7">
        <v>0</v>
      </c>
      <c r="K451" s="7">
        <f t="shared" ref="K451:L451" si="422">IF(B451=0,"",B451-B399)</f>
        <v>-2991</v>
      </c>
      <c r="L451" s="7">
        <f t="shared" si="422"/>
        <v>-2922</v>
      </c>
      <c r="M451" s="8">
        <f t="shared" ref="M451:N451" si="423">IF(K451="","",B451/B399-1)</f>
        <v>-9.1442722186554137E-2</v>
      </c>
      <c r="N451" s="8">
        <f t="shared" si="423"/>
        <v>-9.0029578506285457E-2</v>
      </c>
      <c r="O451" s="12">
        <v>3800</v>
      </c>
      <c r="Q451" s="3"/>
      <c r="R451" s="3"/>
      <c r="S451" s="6"/>
      <c r="T451" s="7"/>
      <c r="U451" s="7"/>
      <c r="V451" s="7"/>
      <c r="W451" s="7"/>
      <c r="X451" s="7"/>
      <c r="Y451" s="7"/>
      <c r="Z451" s="7"/>
      <c r="AA451" s="7"/>
      <c r="AB451" s="7"/>
      <c r="AC451" s="7"/>
      <c r="AD451" s="7"/>
      <c r="AE451" s="8"/>
      <c r="AF451" s="8"/>
      <c r="AG451" s="12"/>
    </row>
    <row r="452" spans="1:33" ht="19.7" customHeight="1" x14ac:dyDescent="0.25">
      <c r="A452" s="6">
        <v>43001</v>
      </c>
      <c r="B452" s="7">
        <f t="shared" ref="B452:B453" si="424">IF(SUM(C452:J452)="","",SUM(C452:J452))</f>
        <v>28877</v>
      </c>
      <c r="C452" s="7">
        <v>28688</v>
      </c>
      <c r="D452" s="7">
        <v>104</v>
      </c>
      <c r="E452" s="7">
        <v>85</v>
      </c>
      <c r="F452" s="7">
        <v>0</v>
      </c>
      <c r="G452" s="7">
        <v>0</v>
      </c>
      <c r="H452" s="7">
        <v>0</v>
      </c>
      <c r="I452" s="7">
        <v>0</v>
      </c>
      <c r="J452" s="7">
        <v>0</v>
      </c>
      <c r="K452" s="7">
        <f t="shared" ref="K452:L452" si="425">IF(B452=0,"",B452-B400)</f>
        <v>-2710</v>
      </c>
      <c r="L452" s="7">
        <f t="shared" si="425"/>
        <v>-2655</v>
      </c>
      <c r="M452" s="8">
        <f t="shared" ref="M452:N452" si="426">IF(K452="","",B452/B400-1)</f>
        <v>-8.579478899547277E-2</v>
      </c>
      <c r="N452" s="8">
        <f t="shared" si="426"/>
        <v>-8.4707909262036196E-2</v>
      </c>
      <c r="O452" s="12">
        <v>3696</v>
      </c>
      <c r="Q452" s="3"/>
      <c r="R452" s="3"/>
      <c r="S452" s="6"/>
      <c r="T452" s="7"/>
      <c r="U452" s="7"/>
      <c r="V452" s="7"/>
      <c r="W452" s="7"/>
      <c r="X452" s="7"/>
      <c r="Y452" s="7"/>
      <c r="Z452" s="7"/>
      <c r="AA452" s="7"/>
      <c r="AB452" s="7"/>
      <c r="AC452" s="7"/>
      <c r="AD452" s="7"/>
      <c r="AE452" s="8"/>
      <c r="AF452" s="8"/>
      <c r="AG452" s="12"/>
    </row>
    <row r="453" spans="1:33" ht="19.7" customHeight="1" x14ac:dyDescent="0.25">
      <c r="A453" s="6">
        <v>43008</v>
      </c>
      <c r="B453" s="7">
        <f t="shared" si="424"/>
        <v>27887</v>
      </c>
      <c r="C453" s="7">
        <v>27707</v>
      </c>
      <c r="D453" s="7">
        <v>90</v>
      </c>
      <c r="E453" s="7">
        <v>90</v>
      </c>
      <c r="F453" s="7">
        <v>0</v>
      </c>
      <c r="G453" s="7">
        <v>0</v>
      </c>
      <c r="H453" s="7">
        <v>0</v>
      </c>
      <c r="I453" s="7">
        <v>0</v>
      </c>
      <c r="J453" s="7">
        <v>0</v>
      </c>
      <c r="K453" s="7">
        <f t="shared" ref="K453:L453" si="427">IF(B453=0,"",B453-B401)</f>
        <v>-3021</v>
      </c>
      <c r="L453" s="7">
        <f t="shared" si="427"/>
        <v>-2961</v>
      </c>
      <c r="M453" s="8">
        <f t="shared" ref="M453:N453" si="428">IF(K453="","",B453/B401-1)</f>
        <v>-9.7741685000647061E-2</v>
      </c>
      <c r="N453" s="8">
        <f t="shared" si="428"/>
        <v>-9.6550149993478551E-2</v>
      </c>
      <c r="O453" s="12">
        <v>3717</v>
      </c>
      <c r="Q453" s="3"/>
      <c r="R453" s="3"/>
      <c r="S453" s="6"/>
      <c r="T453" s="7"/>
      <c r="U453" s="7"/>
      <c r="V453" s="7"/>
      <c r="W453" s="7"/>
      <c r="X453" s="7"/>
      <c r="Y453" s="7"/>
      <c r="Z453" s="7"/>
      <c r="AA453" s="7"/>
      <c r="AB453" s="7"/>
      <c r="AC453" s="7"/>
      <c r="AD453" s="7"/>
      <c r="AE453" s="8"/>
      <c r="AF453" s="8"/>
      <c r="AG453" s="12"/>
    </row>
    <row r="454" spans="1:33" ht="19.7" customHeight="1" x14ac:dyDescent="0.25">
      <c r="A454" s="6">
        <v>43015</v>
      </c>
      <c r="B454" s="7">
        <f t="shared" ref="B454:B455" si="429">IF(SUM(C454:J454)="","",SUM(C454:J454))</f>
        <v>27399</v>
      </c>
      <c r="C454" s="7">
        <v>27229</v>
      </c>
      <c r="D454" s="7">
        <v>98</v>
      </c>
      <c r="E454" s="7">
        <v>72</v>
      </c>
      <c r="F454" s="7">
        <v>0</v>
      </c>
      <c r="G454" s="7">
        <v>0</v>
      </c>
      <c r="H454" s="7">
        <v>0</v>
      </c>
      <c r="I454" s="7">
        <v>0</v>
      </c>
      <c r="J454" s="7">
        <v>0</v>
      </c>
      <c r="K454" s="7">
        <f t="shared" ref="K454:L454" si="430">IF(B454=0,"",B454-B402)</f>
        <v>-2390</v>
      </c>
      <c r="L454" s="7">
        <f t="shared" si="430"/>
        <v>-2326</v>
      </c>
      <c r="M454" s="8">
        <f t="shared" ref="M454:N454" si="431">IF(K454="","",B454/B402-1)</f>
        <v>-8.0230957736077024E-2</v>
      </c>
      <c r="N454" s="8">
        <f t="shared" si="431"/>
        <v>-7.8700727457283071E-2</v>
      </c>
      <c r="O454" s="12">
        <v>4411</v>
      </c>
      <c r="Q454" s="3"/>
      <c r="R454" s="3"/>
      <c r="S454" s="6"/>
      <c r="T454" s="7"/>
      <c r="U454" s="7"/>
      <c r="V454" s="7"/>
      <c r="W454" s="7"/>
      <c r="X454" s="7"/>
      <c r="Y454" s="7"/>
      <c r="Z454" s="7"/>
      <c r="AA454" s="7"/>
      <c r="AB454" s="7"/>
      <c r="AC454" s="7"/>
      <c r="AD454" s="7"/>
      <c r="AE454" s="8"/>
      <c r="AF454" s="8"/>
      <c r="AG454" s="12"/>
    </row>
    <row r="455" spans="1:33" ht="19.7" customHeight="1" x14ac:dyDescent="0.25">
      <c r="A455" s="6">
        <v>43022</v>
      </c>
      <c r="B455" s="7">
        <f t="shared" si="429"/>
        <v>26560</v>
      </c>
      <c r="C455" s="7">
        <v>26374</v>
      </c>
      <c r="D455" s="7">
        <v>116</v>
      </c>
      <c r="E455" s="7">
        <v>70</v>
      </c>
      <c r="F455" s="7">
        <v>0</v>
      </c>
      <c r="G455" s="7">
        <v>0</v>
      </c>
      <c r="H455" s="7">
        <v>0</v>
      </c>
      <c r="I455" s="7">
        <v>0</v>
      </c>
      <c r="J455" s="7">
        <v>0</v>
      </c>
      <c r="K455" s="7">
        <f t="shared" ref="K455:L455" si="432">IF(B455=0,"",B455-B403)</f>
        <v>-2828</v>
      </c>
      <c r="L455" s="7">
        <f t="shared" si="432"/>
        <v>-2760</v>
      </c>
      <c r="M455" s="8">
        <f t="shared" ref="M455:N455" si="433">IF(K455="","",B455/B403-1)</f>
        <v>-9.6229753640941884E-2</v>
      </c>
      <c r="N455" s="8">
        <f t="shared" si="433"/>
        <v>-9.4734674263746821E-2</v>
      </c>
      <c r="O455" s="12">
        <v>3822</v>
      </c>
      <c r="Q455" s="3"/>
      <c r="R455" s="3"/>
      <c r="S455" s="6"/>
      <c r="T455" s="7"/>
      <c r="U455" s="7"/>
      <c r="V455" s="7"/>
      <c r="W455" s="7"/>
      <c r="X455" s="7"/>
      <c r="Y455" s="7"/>
      <c r="Z455" s="7"/>
      <c r="AA455" s="7"/>
      <c r="AB455" s="7"/>
      <c r="AC455" s="7"/>
      <c r="AD455" s="7"/>
      <c r="AE455" s="8"/>
      <c r="AF455" s="8"/>
      <c r="AG455" s="12"/>
    </row>
    <row r="456" spans="1:33" ht="19.7" customHeight="1" x14ac:dyDescent="0.25">
      <c r="A456" s="6">
        <v>43029</v>
      </c>
      <c r="B456" s="7">
        <f t="shared" ref="B456:B457" si="434">IF(SUM(C456:J456)="","",SUM(C456:J456))</f>
        <v>26408</v>
      </c>
      <c r="C456" s="7">
        <v>26206</v>
      </c>
      <c r="D456" s="7">
        <v>131</v>
      </c>
      <c r="E456" s="7">
        <v>71</v>
      </c>
      <c r="F456" s="7">
        <v>0</v>
      </c>
      <c r="G456" s="7">
        <v>0</v>
      </c>
      <c r="H456" s="7">
        <v>0</v>
      </c>
      <c r="I456" s="7">
        <v>0</v>
      </c>
      <c r="J456" s="7">
        <v>0</v>
      </c>
      <c r="K456" s="7">
        <f t="shared" ref="K456:L456" si="435">IF(B456=0,"",B456-B404)</f>
        <v>-3029</v>
      </c>
      <c r="L456" s="7">
        <f t="shared" si="435"/>
        <v>-2949</v>
      </c>
      <c r="M456" s="8">
        <f t="shared" ref="M456:N456" si="436">IF(K456="","",B456/B404-1)</f>
        <v>-0.10289771376159251</v>
      </c>
      <c r="N456" s="8">
        <f t="shared" si="436"/>
        <v>-0.10114903104098782</v>
      </c>
      <c r="O456" s="12">
        <v>4084</v>
      </c>
      <c r="Q456" s="3"/>
      <c r="R456" s="3"/>
      <c r="S456" s="6"/>
      <c r="T456" s="7"/>
      <c r="U456" s="7"/>
      <c r="V456" s="7"/>
      <c r="W456" s="7"/>
      <c r="X456" s="7"/>
      <c r="Y456" s="7"/>
      <c r="Z456" s="7"/>
      <c r="AA456" s="7"/>
      <c r="AB456" s="7"/>
      <c r="AC456" s="7"/>
      <c r="AD456" s="7"/>
      <c r="AE456" s="8"/>
      <c r="AF456" s="8"/>
      <c r="AG456" s="12"/>
    </row>
    <row r="457" spans="1:33" ht="19.7" customHeight="1" x14ac:dyDescent="0.25">
      <c r="A457" s="6">
        <v>43036</v>
      </c>
      <c r="B457" s="7">
        <f t="shared" si="434"/>
        <v>25682</v>
      </c>
      <c r="C457" s="7">
        <v>25482</v>
      </c>
      <c r="D457" s="7">
        <v>131</v>
      </c>
      <c r="E457" s="7">
        <v>69</v>
      </c>
      <c r="F457" s="7">
        <v>0</v>
      </c>
      <c r="G457" s="7">
        <v>0</v>
      </c>
      <c r="H457" s="7">
        <v>0</v>
      </c>
      <c r="I457" s="7">
        <v>0</v>
      </c>
      <c r="J457" s="7">
        <v>0</v>
      </c>
      <c r="K457" s="7">
        <f t="shared" ref="K457:L457" si="437">IF(B457=0,"",B457-B405)</f>
        <v>-3245</v>
      </c>
      <c r="L457" s="7">
        <f t="shared" si="437"/>
        <v>-3170</v>
      </c>
      <c r="M457" s="8">
        <f t="shared" ref="M457:N457" si="438">IF(K457="","",B457/B405-1)</f>
        <v>-0.11217893317661698</v>
      </c>
      <c r="N457" s="8">
        <f t="shared" si="438"/>
        <v>-0.11063800083763786</v>
      </c>
      <c r="O457" s="12">
        <v>3760</v>
      </c>
      <c r="Q457" s="3"/>
      <c r="R457" s="3"/>
      <c r="S457" s="6"/>
      <c r="T457" s="7"/>
      <c r="U457" s="7"/>
      <c r="V457" s="7"/>
      <c r="W457" s="7"/>
      <c r="X457" s="7"/>
      <c r="Y457" s="7"/>
      <c r="Z457" s="7"/>
      <c r="AA457" s="7"/>
      <c r="AB457" s="7"/>
      <c r="AC457" s="7"/>
      <c r="AD457" s="7"/>
      <c r="AE457" s="8"/>
      <c r="AF457" s="8"/>
      <c r="AG457" s="12"/>
    </row>
    <row r="458" spans="1:33" ht="19.7" customHeight="1" x14ac:dyDescent="0.25">
      <c r="A458" s="6">
        <v>43043</v>
      </c>
      <c r="B458" s="7">
        <f t="shared" ref="B458:B459" si="439">IF(SUM(C458:J458)="","",SUM(C458:J458))</f>
        <v>24975</v>
      </c>
      <c r="C458" s="7">
        <v>24756</v>
      </c>
      <c r="D458" s="7">
        <v>147</v>
      </c>
      <c r="E458" s="7">
        <v>72</v>
      </c>
      <c r="F458" s="7">
        <v>0</v>
      </c>
      <c r="G458" s="7">
        <v>0</v>
      </c>
      <c r="H458" s="7">
        <v>0</v>
      </c>
      <c r="I458" s="7">
        <v>0</v>
      </c>
      <c r="J458" s="7">
        <v>0</v>
      </c>
      <c r="K458" s="7">
        <f t="shared" ref="K458:L458" si="440">IF(B458=0,"",B458-B406)</f>
        <v>-3320</v>
      </c>
      <c r="L458" s="7">
        <f t="shared" si="440"/>
        <v>-3229</v>
      </c>
      <c r="M458" s="8">
        <f t="shared" ref="M458:N458" si="441">IF(K458="","",B458/B406-1)</f>
        <v>-0.11733521823643756</v>
      </c>
      <c r="N458" s="8">
        <f t="shared" si="441"/>
        <v>-0.11538324102197606</v>
      </c>
      <c r="O458" s="12">
        <v>4159</v>
      </c>
      <c r="Q458" s="3"/>
      <c r="R458" s="3"/>
      <c r="S458" s="6"/>
      <c r="T458" s="7"/>
      <c r="U458" s="7"/>
      <c r="V458" s="7"/>
      <c r="W458" s="7"/>
      <c r="X458" s="7"/>
      <c r="Y458" s="7"/>
      <c r="Z458" s="7"/>
      <c r="AA458" s="7"/>
      <c r="AB458" s="7"/>
      <c r="AC458" s="7"/>
      <c r="AD458" s="7"/>
      <c r="AE458" s="8"/>
      <c r="AF458" s="8"/>
      <c r="AG458" s="12"/>
    </row>
    <row r="459" spans="1:33" ht="19.7" customHeight="1" x14ac:dyDescent="0.25">
      <c r="A459" s="6">
        <v>43050</v>
      </c>
      <c r="B459" s="7">
        <f t="shared" si="439"/>
        <v>23141</v>
      </c>
      <c r="C459" s="7">
        <v>22932</v>
      </c>
      <c r="D459" s="7">
        <v>153</v>
      </c>
      <c r="E459" s="7">
        <v>56</v>
      </c>
      <c r="F459" s="7">
        <v>0</v>
      </c>
      <c r="G459" s="7">
        <v>0</v>
      </c>
      <c r="H459" s="7">
        <v>0</v>
      </c>
      <c r="I459" s="7">
        <v>0</v>
      </c>
      <c r="J459" s="7">
        <v>0</v>
      </c>
      <c r="K459" s="7">
        <f t="shared" ref="K459:L459" si="442">IF(B459=0,"",B459-B407)</f>
        <v>-2898</v>
      </c>
      <c r="L459" s="7">
        <f t="shared" si="442"/>
        <v>-2832</v>
      </c>
      <c r="M459" s="8">
        <f t="shared" ref="M459:N459" si="443">IF(K459="","",B459/B407-1)</f>
        <v>-0.11129459656668839</v>
      </c>
      <c r="N459" s="8">
        <f t="shared" si="443"/>
        <v>-0.10992081974848622</v>
      </c>
      <c r="O459" s="12">
        <v>3259</v>
      </c>
      <c r="Q459" s="3"/>
      <c r="R459" s="3"/>
      <c r="S459" s="6"/>
      <c r="T459" s="7"/>
      <c r="U459" s="7"/>
      <c r="V459" s="7"/>
      <c r="W459" s="7"/>
      <c r="X459" s="7"/>
      <c r="Y459" s="7"/>
      <c r="Z459" s="7"/>
      <c r="AA459" s="7"/>
      <c r="AB459" s="7"/>
      <c r="AC459" s="7"/>
      <c r="AD459" s="7"/>
      <c r="AE459" s="8"/>
      <c r="AF459" s="8"/>
      <c r="AG459" s="12"/>
    </row>
    <row r="460" spans="1:33" ht="19.7" customHeight="1" x14ac:dyDescent="0.25">
      <c r="A460" s="6">
        <v>43057</v>
      </c>
      <c r="B460" s="7">
        <f t="shared" ref="B460:B461" si="444">IF(SUM(C460:J460)="","",SUM(C460:J460))</f>
        <v>25296</v>
      </c>
      <c r="C460" s="7">
        <v>25027</v>
      </c>
      <c r="D460" s="7">
        <v>181</v>
      </c>
      <c r="E460" s="7">
        <v>88</v>
      </c>
      <c r="F460" s="7">
        <v>0</v>
      </c>
      <c r="G460" s="7">
        <v>0</v>
      </c>
      <c r="H460" s="7">
        <v>0</v>
      </c>
      <c r="I460" s="7">
        <v>0</v>
      </c>
      <c r="J460" s="7">
        <v>0</v>
      </c>
      <c r="K460" s="7">
        <f t="shared" ref="K460:L460" si="445">IF(B460=0,"",B460-B408)</f>
        <v>-3076</v>
      </c>
      <c r="L460" s="7">
        <f t="shared" si="445"/>
        <v>-3030</v>
      </c>
      <c r="M460" s="8">
        <f t="shared" ref="M460:N460" si="446">IF(K460="","",B460/B408-1)</f>
        <v>-0.10841674890737352</v>
      </c>
      <c r="N460" s="8">
        <f t="shared" si="446"/>
        <v>-0.1079944398902235</v>
      </c>
      <c r="O460" s="12">
        <v>4217</v>
      </c>
      <c r="Q460" s="3"/>
      <c r="R460" s="3"/>
      <c r="S460" s="6"/>
      <c r="T460" s="7"/>
      <c r="U460" s="7"/>
      <c r="V460" s="7"/>
      <c r="W460" s="7"/>
      <c r="X460" s="7"/>
      <c r="Y460" s="7"/>
      <c r="Z460" s="7"/>
      <c r="AA460" s="7"/>
      <c r="AB460" s="7"/>
      <c r="AC460" s="7"/>
      <c r="AD460" s="7"/>
      <c r="AE460" s="8"/>
      <c r="AF460" s="8"/>
      <c r="AG460" s="12"/>
    </row>
    <row r="461" spans="1:33" ht="19.7" customHeight="1" x14ac:dyDescent="0.25">
      <c r="A461" s="6">
        <v>43064</v>
      </c>
      <c r="B461" s="7">
        <f t="shared" si="444"/>
        <v>22167</v>
      </c>
      <c r="C461" s="7">
        <v>21907</v>
      </c>
      <c r="D461" s="7">
        <v>178</v>
      </c>
      <c r="E461" s="7">
        <v>82</v>
      </c>
      <c r="F461" s="7">
        <v>0</v>
      </c>
      <c r="G461" s="7">
        <v>0</v>
      </c>
      <c r="H461" s="7">
        <v>0</v>
      </c>
      <c r="I461" s="7">
        <v>0</v>
      </c>
      <c r="J461" s="7">
        <v>0</v>
      </c>
      <c r="K461" s="7">
        <f t="shared" ref="K461:L461" si="447">IF(B461=0,"",B461-B409)</f>
        <v>-3007</v>
      </c>
      <c r="L461" s="7">
        <f t="shared" si="447"/>
        <v>-2953</v>
      </c>
      <c r="M461" s="8">
        <f t="shared" ref="M461:N461" si="448">IF(K461="","",B461/B409-1)</f>
        <v>-0.11944863748311751</v>
      </c>
      <c r="N461" s="8">
        <f t="shared" si="448"/>
        <v>-0.11878519710378121</v>
      </c>
      <c r="O461" s="12">
        <v>2675</v>
      </c>
      <c r="Q461" s="3"/>
      <c r="R461" s="3"/>
      <c r="S461" s="6"/>
      <c r="T461" s="7"/>
      <c r="U461" s="7"/>
      <c r="V461" s="7"/>
      <c r="W461" s="7"/>
      <c r="X461" s="7"/>
      <c r="Y461" s="7"/>
      <c r="Z461" s="7"/>
      <c r="AA461" s="7"/>
      <c r="AB461" s="7"/>
      <c r="AC461" s="7"/>
      <c r="AD461" s="7"/>
      <c r="AE461" s="8"/>
      <c r="AF461" s="8"/>
      <c r="AG461" s="12"/>
    </row>
    <row r="462" spans="1:33" ht="19.7" customHeight="1" x14ac:dyDescent="0.25">
      <c r="A462" s="6">
        <v>43071</v>
      </c>
      <c r="B462" s="7">
        <f t="shared" ref="B462:B463" si="449">IF(SUM(C462:J462)="","",SUM(C462:J462))</f>
        <v>23328</v>
      </c>
      <c r="C462" s="7">
        <v>23026</v>
      </c>
      <c r="D462" s="7">
        <v>226</v>
      </c>
      <c r="E462" s="7">
        <v>76</v>
      </c>
      <c r="F462" s="7">
        <v>0</v>
      </c>
      <c r="G462" s="7">
        <v>0</v>
      </c>
      <c r="H462" s="7">
        <v>0</v>
      </c>
      <c r="I462" s="7">
        <v>0</v>
      </c>
      <c r="J462" s="7">
        <v>0</v>
      </c>
      <c r="K462" s="7">
        <f t="shared" ref="K462:L462" si="450">IF(B462=0,"",B462-B410)</f>
        <v>-3283</v>
      </c>
      <c r="L462" s="7">
        <f t="shared" si="450"/>
        <v>-3257</v>
      </c>
      <c r="M462" s="8">
        <f t="shared" ref="M462:N462" si="451">IF(K462="","",B462/B410-1)</f>
        <v>-0.12337003494795384</v>
      </c>
      <c r="N462" s="8">
        <f t="shared" si="451"/>
        <v>-0.12392040482441125</v>
      </c>
      <c r="O462" s="12">
        <v>4047</v>
      </c>
      <c r="Q462" s="3"/>
      <c r="R462" s="3"/>
      <c r="S462" s="6"/>
      <c r="T462" s="7"/>
      <c r="U462" s="7"/>
      <c r="V462" s="7"/>
      <c r="W462" s="7"/>
      <c r="X462" s="7"/>
      <c r="Y462" s="7"/>
      <c r="Z462" s="7"/>
      <c r="AA462" s="7"/>
      <c r="AB462" s="7"/>
      <c r="AC462" s="7"/>
      <c r="AD462" s="7"/>
      <c r="AE462" s="8"/>
      <c r="AF462" s="8"/>
      <c r="AG462" s="12"/>
    </row>
    <row r="463" spans="1:33" ht="19.7" customHeight="1" x14ac:dyDescent="0.25">
      <c r="A463" s="6">
        <v>43078</v>
      </c>
      <c r="B463" s="7">
        <f t="shared" si="449"/>
        <v>22146</v>
      </c>
      <c r="C463" s="7">
        <v>21848</v>
      </c>
      <c r="D463" s="7">
        <v>221</v>
      </c>
      <c r="E463" s="7">
        <v>77</v>
      </c>
      <c r="F463" s="7">
        <v>0</v>
      </c>
      <c r="G463" s="7">
        <v>0</v>
      </c>
      <c r="H463" s="7">
        <v>0</v>
      </c>
      <c r="I463" s="7">
        <v>0</v>
      </c>
      <c r="J463" s="7">
        <v>0</v>
      </c>
      <c r="K463" s="7">
        <f t="shared" ref="K463:L463" si="452">IF(B463=0,"",B463-B411)</f>
        <v>-3115</v>
      </c>
      <c r="L463" s="7">
        <f t="shared" si="452"/>
        <v>-3096</v>
      </c>
      <c r="M463" s="8">
        <f t="shared" ref="M463:N463" si="453">IF(K463="","",B463/B411-1)</f>
        <v>-0.12331261628597445</v>
      </c>
      <c r="N463" s="8">
        <f t="shared" si="453"/>
        <v>-0.12411802437459907</v>
      </c>
      <c r="O463" s="12">
        <v>3886</v>
      </c>
      <c r="Q463" s="3"/>
      <c r="R463" s="3"/>
      <c r="S463" s="6"/>
      <c r="T463" s="7"/>
      <c r="U463" s="7"/>
      <c r="V463" s="7"/>
      <c r="W463" s="7"/>
      <c r="X463" s="7"/>
      <c r="Y463" s="7"/>
      <c r="Z463" s="7"/>
      <c r="AA463" s="7"/>
      <c r="AB463" s="7"/>
      <c r="AC463" s="7"/>
      <c r="AD463" s="7"/>
      <c r="AE463" s="8"/>
      <c r="AF463" s="8"/>
      <c r="AG463" s="12"/>
    </row>
    <row r="464" spans="1:33" ht="19.7" customHeight="1" x14ac:dyDescent="0.25">
      <c r="A464" s="6">
        <v>43085</v>
      </c>
      <c r="B464" s="7">
        <f t="shared" ref="B464:B465" si="454">IF(SUM(C464:J464)="","",SUM(C464:J464))</f>
        <v>22825</v>
      </c>
      <c r="C464" s="7">
        <v>22497</v>
      </c>
      <c r="D464" s="7">
        <v>253</v>
      </c>
      <c r="E464" s="7">
        <v>75</v>
      </c>
      <c r="F464" s="7">
        <v>0</v>
      </c>
      <c r="G464" s="7">
        <v>0</v>
      </c>
      <c r="H464" s="7">
        <v>0</v>
      </c>
      <c r="I464" s="7">
        <v>0</v>
      </c>
      <c r="J464" s="7">
        <v>0</v>
      </c>
      <c r="K464" s="7">
        <f t="shared" ref="K464:L464" si="455">IF(B464=0,"",B464-B412)</f>
        <v>-3101</v>
      </c>
      <c r="L464" s="7">
        <f t="shared" si="455"/>
        <v>-3111</v>
      </c>
      <c r="M464" s="8">
        <f t="shared" ref="M464:N464" si="456">IF(K464="","",B464/B412-1)</f>
        <v>-0.11960965825811931</v>
      </c>
      <c r="N464" s="8">
        <f t="shared" si="456"/>
        <v>-0.12148547328959702</v>
      </c>
      <c r="O464" s="12">
        <v>3619</v>
      </c>
      <c r="Q464" s="3"/>
      <c r="R464" s="3"/>
      <c r="S464" s="6"/>
      <c r="T464" s="7"/>
      <c r="U464" s="7"/>
      <c r="V464" s="7"/>
      <c r="W464" s="7"/>
      <c r="X464" s="7"/>
      <c r="Y464" s="7"/>
      <c r="Z464" s="7"/>
      <c r="AA464" s="7"/>
      <c r="AB464" s="7"/>
      <c r="AC464" s="7"/>
      <c r="AD464" s="7"/>
      <c r="AE464" s="8"/>
      <c r="AF464" s="8"/>
      <c r="AG464" s="12"/>
    </row>
    <row r="465" spans="1:33" ht="19.7" customHeight="1" x14ac:dyDescent="0.25">
      <c r="A465" s="6">
        <v>43092</v>
      </c>
      <c r="B465" s="7">
        <f t="shared" si="454"/>
        <v>22009</v>
      </c>
      <c r="C465" s="7">
        <v>21673</v>
      </c>
      <c r="D465" s="7">
        <v>256</v>
      </c>
      <c r="E465" s="7">
        <v>80</v>
      </c>
      <c r="F465" s="7">
        <v>0</v>
      </c>
      <c r="G465" s="7">
        <v>0</v>
      </c>
      <c r="H465" s="7">
        <v>0</v>
      </c>
      <c r="I465" s="7">
        <v>0</v>
      </c>
      <c r="J465" s="7">
        <v>0</v>
      </c>
      <c r="K465" s="7">
        <f t="shared" ref="K465:L465" si="457">IF(B465=0,"",B465-B413)</f>
        <v>-3239</v>
      </c>
      <c r="L465" s="7">
        <f t="shared" si="457"/>
        <v>-3202</v>
      </c>
      <c r="M465" s="8">
        <f t="shared" ref="M465:N465" si="458">IF(K465="","",B465/B413-1)</f>
        <v>-0.12828738910012671</v>
      </c>
      <c r="N465" s="8">
        <f t="shared" si="458"/>
        <v>-0.1287236180904523</v>
      </c>
      <c r="O465" s="12">
        <v>3299</v>
      </c>
      <c r="Q465" s="3"/>
      <c r="R465" s="3"/>
      <c r="S465" s="6"/>
      <c r="T465" s="7"/>
      <c r="U465" s="7"/>
      <c r="V465" s="7"/>
      <c r="W465" s="7"/>
      <c r="X465" s="7"/>
      <c r="Y465" s="7"/>
      <c r="Z465" s="7"/>
      <c r="AA465" s="7"/>
      <c r="AB465" s="7"/>
      <c r="AC465" s="7"/>
      <c r="AD465" s="7"/>
      <c r="AE465" s="8"/>
      <c r="AF465" s="8"/>
      <c r="AG465" s="12"/>
    </row>
    <row r="466" spans="1:33" ht="19.7" customHeight="1" x14ac:dyDescent="0.25">
      <c r="A466" s="6">
        <v>43099</v>
      </c>
      <c r="B466" s="7">
        <f t="shared" ref="B466:B467" si="459">IF(SUM(C466:J466)="","",SUM(C466:J466))</f>
        <v>22059</v>
      </c>
      <c r="C466" s="7">
        <v>21706</v>
      </c>
      <c r="D466" s="7">
        <v>274</v>
      </c>
      <c r="E466" s="7">
        <v>79</v>
      </c>
      <c r="F466" s="7">
        <v>0</v>
      </c>
      <c r="G466" s="7">
        <v>0</v>
      </c>
      <c r="H466" s="7">
        <v>0</v>
      </c>
      <c r="I466" s="7">
        <v>0</v>
      </c>
      <c r="J466" s="7">
        <v>0</v>
      </c>
      <c r="K466" s="7">
        <f t="shared" ref="K466:L466" si="460">IF(B466=0,"",B466-B414)</f>
        <v>-3723</v>
      </c>
      <c r="L466" s="7">
        <f t="shared" si="460"/>
        <v>-3724</v>
      </c>
      <c r="M466" s="8">
        <f t="shared" ref="M466:N466" si="461">IF(K466="","",B466/B414-1)</f>
        <v>-0.14440307191063528</v>
      </c>
      <c r="N466" s="8">
        <f t="shared" si="461"/>
        <v>-0.14644121116791187</v>
      </c>
      <c r="O466" s="12">
        <v>2787</v>
      </c>
      <c r="Q466" s="3"/>
      <c r="R466" s="3"/>
      <c r="S466" s="6"/>
      <c r="T466" s="7"/>
      <c r="U466" s="7"/>
      <c r="V466" s="7"/>
      <c r="W466" s="7"/>
      <c r="X466" s="7"/>
      <c r="Y466" s="7"/>
      <c r="Z466" s="7"/>
      <c r="AA466" s="7"/>
      <c r="AB466" s="7"/>
      <c r="AC466" s="7"/>
      <c r="AD466" s="7"/>
      <c r="AE466" s="8"/>
      <c r="AF466" s="8"/>
      <c r="AG466" s="12"/>
    </row>
    <row r="467" spans="1:33" ht="19.7" customHeight="1" x14ac:dyDescent="0.25">
      <c r="A467" s="6">
        <v>43106</v>
      </c>
      <c r="B467" s="7">
        <f t="shared" si="459"/>
        <v>22415</v>
      </c>
      <c r="C467" s="7">
        <v>22035</v>
      </c>
      <c r="D467" s="7">
        <v>294</v>
      </c>
      <c r="E467" s="7">
        <v>86</v>
      </c>
      <c r="F467" s="7">
        <v>0</v>
      </c>
      <c r="G467" s="7">
        <v>0</v>
      </c>
      <c r="H467" s="7">
        <v>0</v>
      </c>
      <c r="I467" s="7">
        <v>0</v>
      </c>
      <c r="J467" s="7">
        <v>0</v>
      </c>
      <c r="K467" s="7">
        <f>IF(B467=0,"",B467-B415)</f>
        <v>-3224</v>
      </c>
      <c r="L467" s="7">
        <f>IF(C467=0,"",C467-C415)</f>
        <v>-3209</v>
      </c>
      <c r="M467" s="8">
        <f>IF(K467="","",B467/B415-1)</f>
        <v>-0.12574593392878042</v>
      </c>
      <c r="N467" s="8">
        <f>IF(L467="","",C467/C415-1)</f>
        <v>-0.12711931548090638</v>
      </c>
      <c r="O467" s="12">
        <v>3626</v>
      </c>
      <c r="Q467" s="3"/>
      <c r="R467" s="3"/>
      <c r="S467" s="6"/>
      <c r="T467" s="7"/>
      <c r="U467" s="7"/>
      <c r="V467" s="7"/>
      <c r="W467" s="7"/>
      <c r="X467" s="7"/>
      <c r="Y467" s="7"/>
      <c r="Z467" s="7"/>
      <c r="AA467" s="7"/>
      <c r="AB467" s="7"/>
      <c r="AC467" s="7"/>
      <c r="AD467" s="7"/>
      <c r="AE467" s="8"/>
      <c r="AF467" s="8"/>
      <c r="AG467" s="12"/>
    </row>
    <row r="468" spans="1:33" ht="19.7" customHeight="1" x14ac:dyDescent="0.25">
      <c r="A468" s="6">
        <v>43113</v>
      </c>
      <c r="B468" s="7">
        <f t="shared" ref="B468:B469" si="462">IF(SUM(C468:J468)="","",SUM(C468:J468))</f>
        <v>22870</v>
      </c>
      <c r="C468" s="7">
        <v>22503</v>
      </c>
      <c r="D468" s="7">
        <v>288</v>
      </c>
      <c r="E468" s="7">
        <v>79</v>
      </c>
      <c r="F468" s="7">
        <v>0</v>
      </c>
      <c r="G468" s="7">
        <v>0</v>
      </c>
      <c r="H468" s="7">
        <v>0</v>
      </c>
      <c r="I468" s="7">
        <v>0</v>
      </c>
      <c r="J468" s="7">
        <v>0</v>
      </c>
      <c r="K468" s="7">
        <f t="shared" ref="K468:L468" si="463">IF(B468=0,"",B468-B416)</f>
        <v>-3535</v>
      </c>
      <c r="L468" s="7">
        <f t="shared" si="463"/>
        <v>-3530</v>
      </c>
      <c r="M468" s="8">
        <f t="shared" ref="M468:N468" si="464">IF(K468="","",B468/B416-1)</f>
        <v>-0.13387615981821621</v>
      </c>
      <c r="N468" s="8">
        <f t="shared" si="464"/>
        <v>-0.13559712672377366</v>
      </c>
      <c r="O468" s="12">
        <v>4671</v>
      </c>
      <c r="Q468" s="3"/>
      <c r="R468" s="3"/>
      <c r="S468" s="6"/>
      <c r="T468" s="7"/>
      <c r="U468" s="7"/>
      <c r="V468" s="7"/>
      <c r="W468" s="7"/>
      <c r="X468" s="7"/>
      <c r="Y468" s="7"/>
      <c r="Z468" s="7"/>
      <c r="AA468" s="7"/>
      <c r="AB468" s="7"/>
      <c r="AC468" s="7"/>
      <c r="AD468" s="7"/>
      <c r="AE468" s="8"/>
      <c r="AF468" s="8"/>
      <c r="AG468" s="12"/>
    </row>
    <row r="469" spans="1:33" ht="19.7" customHeight="1" x14ac:dyDescent="0.25">
      <c r="A469" s="6">
        <v>43120</v>
      </c>
      <c r="B469" s="7">
        <f t="shared" si="462"/>
        <v>22347</v>
      </c>
      <c r="C469" s="7">
        <v>21984</v>
      </c>
      <c r="D469" s="7">
        <v>288</v>
      </c>
      <c r="E469" s="7">
        <v>75</v>
      </c>
      <c r="F469" s="7">
        <v>0</v>
      </c>
      <c r="G469" s="7">
        <v>0</v>
      </c>
      <c r="H469" s="7">
        <v>0</v>
      </c>
      <c r="I469" s="7">
        <v>0</v>
      </c>
      <c r="J469" s="7">
        <v>0</v>
      </c>
      <c r="K469" s="7">
        <f t="shared" ref="K469:L469" si="465">IF(B469=0,"",B469-B417)</f>
        <v>-3960</v>
      </c>
      <c r="L469" s="7">
        <f t="shared" si="465"/>
        <v>-3928</v>
      </c>
      <c r="M469" s="8">
        <f t="shared" ref="M469:N469" si="466">IF(K469="","",B469/B417-1)</f>
        <v>-0.15053027711255562</v>
      </c>
      <c r="N469" s="8">
        <f t="shared" si="466"/>
        <v>-0.15158999691262731</v>
      </c>
      <c r="O469" s="12">
        <v>3614</v>
      </c>
      <c r="Q469" s="3"/>
      <c r="R469" s="3"/>
      <c r="S469" s="6"/>
      <c r="T469" s="7"/>
      <c r="U469" s="7"/>
      <c r="V469" s="7"/>
      <c r="W469" s="7"/>
      <c r="X469" s="7"/>
      <c r="Y469" s="7"/>
      <c r="Z469" s="7"/>
      <c r="AA469" s="7"/>
      <c r="AB469" s="7"/>
      <c r="AC469" s="7"/>
      <c r="AD469" s="7"/>
      <c r="AE469" s="8"/>
      <c r="AF469" s="8"/>
      <c r="AG469" s="12"/>
    </row>
    <row r="470" spans="1:33" ht="19.7" customHeight="1" x14ac:dyDescent="0.25">
      <c r="A470" s="6">
        <v>43127</v>
      </c>
      <c r="B470" s="7">
        <f t="shared" ref="B470:B471" si="467">IF(SUM(C470:J470)="","",SUM(C470:J470))</f>
        <v>23014</v>
      </c>
      <c r="C470" s="7">
        <v>22637</v>
      </c>
      <c r="D470" s="7">
        <v>307</v>
      </c>
      <c r="E470" s="7">
        <v>70</v>
      </c>
      <c r="F470" s="7">
        <v>0</v>
      </c>
      <c r="G470" s="7">
        <v>0</v>
      </c>
      <c r="H470" s="7">
        <v>0</v>
      </c>
      <c r="I470" s="7">
        <v>0</v>
      </c>
      <c r="J470" s="7">
        <v>0</v>
      </c>
      <c r="K470" s="7">
        <f t="shared" ref="K470:L470" si="468">IF(B470=0,"",B470-B418)</f>
        <v>-3355</v>
      </c>
      <c r="L470" s="7">
        <f t="shared" si="468"/>
        <v>-3357</v>
      </c>
      <c r="M470" s="8">
        <f t="shared" ref="M470:N470" si="469">IF(K470="","",B470/B418-1)</f>
        <v>-0.12723273540900304</v>
      </c>
      <c r="N470" s="8">
        <f t="shared" si="469"/>
        <v>-0.12914518735092717</v>
      </c>
      <c r="O470" s="12">
        <v>4154</v>
      </c>
      <c r="Q470" s="3"/>
      <c r="R470" s="3"/>
      <c r="S470" s="6"/>
      <c r="T470" s="7"/>
      <c r="U470" s="7"/>
      <c r="V470" s="7"/>
      <c r="W470" s="7"/>
      <c r="X470" s="7"/>
      <c r="Y470" s="7"/>
      <c r="Z470" s="7"/>
      <c r="AA470" s="7"/>
      <c r="AB470" s="7"/>
      <c r="AC470" s="7"/>
      <c r="AD470" s="7"/>
      <c r="AE470" s="8"/>
      <c r="AF470" s="8"/>
      <c r="AG470" s="12"/>
    </row>
    <row r="471" spans="1:33" ht="19.7" customHeight="1" x14ac:dyDescent="0.25">
      <c r="A471" s="6">
        <v>43134</v>
      </c>
      <c r="B471" s="7">
        <f t="shared" si="467"/>
        <v>22685</v>
      </c>
      <c r="C471" s="7">
        <v>22328</v>
      </c>
      <c r="D471" s="7">
        <v>285</v>
      </c>
      <c r="E471" s="7">
        <v>72</v>
      </c>
      <c r="F471" s="7">
        <v>0</v>
      </c>
      <c r="G471" s="7">
        <v>0</v>
      </c>
      <c r="H471" s="7">
        <v>0</v>
      </c>
      <c r="I471" s="7">
        <v>0</v>
      </c>
      <c r="J471" s="7">
        <v>0</v>
      </c>
      <c r="K471" s="7">
        <f t="shared" ref="K471:L471" si="470">IF(B471=0,"",B471-B419)</f>
        <v>-3185</v>
      </c>
      <c r="L471" s="7">
        <f t="shared" si="470"/>
        <v>-3174</v>
      </c>
      <c r="M471" s="8">
        <f t="shared" ref="M471:N471" si="471">IF(K471="","",B471/B419-1)</f>
        <v>-0.12311557788944727</v>
      </c>
      <c r="N471" s="8">
        <f t="shared" si="471"/>
        <v>-0.12446082660183511</v>
      </c>
      <c r="O471" s="12">
        <v>4071</v>
      </c>
      <c r="Q471" s="3"/>
      <c r="R471" s="3"/>
      <c r="S471" s="6"/>
      <c r="T471" s="7"/>
      <c r="U471" s="7"/>
      <c r="V471" s="7"/>
      <c r="W471" s="7"/>
      <c r="X471" s="7"/>
      <c r="Y471" s="7"/>
      <c r="Z471" s="7"/>
      <c r="AA471" s="7"/>
      <c r="AB471" s="7"/>
      <c r="AC471" s="7"/>
      <c r="AD471" s="7"/>
      <c r="AE471" s="8"/>
      <c r="AF471" s="8"/>
      <c r="AG471" s="12"/>
    </row>
    <row r="472" spans="1:33" ht="19.7" customHeight="1" x14ac:dyDescent="0.25">
      <c r="A472" s="6">
        <v>43141</v>
      </c>
      <c r="B472" s="7">
        <f t="shared" ref="B472:B473" si="472">IF(SUM(C472:J472)="","",SUM(C472:J472))</f>
        <v>22902</v>
      </c>
      <c r="C472" s="7">
        <v>22559</v>
      </c>
      <c r="D472" s="7">
        <v>285</v>
      </c>
      <c r="E472" s="7">
        <v>58</v>
      </c>
      <c r="F472" s="7">
        <v>0</v>
      </c>
      <c r="G472" s="7">
        <v>0</v>
      </c>
      <c r="H472" s="7">
        <v>0</v>
      </c>
      <c r="I472" s="7">
        <v>0</v>
      </c>
      <c r="J472" s="7">
        <v>0</v>
      </c>
      <c r="K472" s="7">
        <f t="shared" ref="K472:L472" si="473">IF(B472=0,"",B472-B420)</f>
        <v>-3230</v>
      </c>
      <c r="L472" s="7">
        <f t="shared" si="473"/>
        <v>-3219</v>
      </c>
      <c r="M472" s="8">
        <f t="shared" ref="M472:N472" si="474">IF(K472="","",B472/B420-1)</f>
        <v>-0.1236032450635236</v>
      </c>
      <c r="N472" s="8">
        <f t="shared" si="474"/>
        <v>-0.12487392350065951</v>
      </c>
      <c r="O472" s="12">
        <v>3935</v>
      </c>
      <c r="Q472" s="3"/>
      <c r="R472" s="3"/>
      <c r="S472" s="6"/>
      <c r="T472" s="7"/>
      <c r="U472" s="7"/>
      <c r="V472" s="7"/>
      <c r="W472" s="7"/>
      <c r="X472" s="7"/>
      <c r="Y472" s="7"/>
      <c r="Z472" s="7"/>
      <c r="AA472" s="7"/>
      <c r="AB472" s="7"/>
      <c r="AC472" s="7"/>
      <c r="AD472" s="7"/>
      <c r="AE472" s="8"/>
      <c r="AF472" s="8"/>
      <c r="AG472" s="12"/>
    </row>
    <row r="473" spans="1:33" ht="19.7" customHeight="1" x14ac:dyDescent="0.25">
      <c r="A473" s="6">
        <v>43148</v>
      </c>
      <c r="B473" s="7">
        <f t="shared" si="472"/>
        <v>22915</v>
      </c>
      <c r="C473" s="7">
        <v>22572</v>
      </c>
      <c r="D473" s="7">
        <v>260</v>
      </c>
      <c r="E473" s="7">
        <v>83</v>
      </c>
      <c r="F473" s="7">
        <v>0</v>
      </c>
      <c r="G473" s="7">
        <v>0</v>
      </c>
      <c r="H473" s="7">
        <v>0</v>
      </c>
      <c r="I473" s="7">
        <v>0</v>
      </c>
      <c r="J473" s="7">
        <v>0</v>
      </c>
      <c r="K473" s="7">
        <f t="shared" ref="K473:L473" si="475">IF(B473=0,"",B473-B421)</f>
        <v>-3411</v>
      </c>
      <c r="L473" s="7">
        <f t="shared" si="475"/>
        <v>-3389</v>
      </c>
      <c r="M473" s="8">
        <f t="shared" ref="M473:N473" si="476">IF(K473="","",B473/B421-1)</f>
        <v>-0.12956772772164404</v>
      </c>
      <c r="N473" s="8">
        <f t="shared" si="476"/>
        <v>-0.13054196679634833</v>
      </c>
      <c r="O473" s="12">
        <v>3454</v>
      </c>
      <c r="Q473" s="3"/>
      <c r="R473" s="3"/>
      <c r="S473" s="6"/>
      <c r="T473" s="7"/>
      <c r="U473" s="7"/>
      <c r="V473" s="7"/>
      <c r="W473" s="7"/>
      <c r="X473" s="7"/>
      <c r="Y473" s="7"/>
      <c r="Z473" s="7"/>
      <c r="AA473" s="7"/>
      <c r="AB473" s="7"/>
      <c r="AC473" s="7"/>
      <c r="AD473" s="7"/>
      <c r="AE473" s="8"/>
      <c r="AF473" s="8"/>
      <c r="AG473" s="12"/>
    </row>
    <row r="474" spans="1:33" ht="19.7" customHeight="1" x14ac:dyDescent="0.25">
      <c r="A474" s="6">
        <v>43155</v>
      </c>
      <c r="B474" s="7">
        <f t="shared" ref="B474:B475" si="477">IF(SUM(C474:J474)="","",SUM(C474:J474))</f>
        <v>22752</v>
      </c>
      <c r="C474" s="7">
        <v>22408</v>
      </c>
      <c r="D474" s="7">
        <v>283</v>
      </c>
      <c r="E474" s="7">
        <v>61</v>
      </c>
      <c r="F474" s="7">
        <v>0</v>
      </c>
      <c r="G474" s="7">
        <v>0</v>
      </c>
      <c r="H474" s="7">
        <v>0</v>
      </c>
      <c r="I474" s="7">
        <v>0</v>
      </c>
      <c r="J474" s="7">
        <v>0</v>
      </c>
      <c r="K474" s="7">
        <f t="shared" ref="K474:L474" si="478">IF(B474=0,"",B474-B422)</f>
        <v>-2842</v>
      </c>
      <c r="L474" s="7">
        <f t="shared" si="478"/>
        <v>-2891</v>
      </c>
      <c r="M474" s="8">
        <f t="shared" ref="M474:N474" si="479">IF(K474="","",B474/B422-1)</f>
        <v>-0.11104165038680935</v>
      </c>
      <c r="N474" s="8">
        <f t="shared" si="479"/>
        <v>-0.11427329143444409</v>
      </c>
      <c r="O474" s="12">
        <v>3270</v>
      </c>
      <c r="Q474" s="3"/>
      <c r="R474" s="3"/>
      <c r="S474" s="6"/>
      <c r="T474" s="7"/>
      <c r="U474" s="7"/>
      <c r="V474" s="7"/>
      <c r="W474" s="7"/>
      <c r="X474" s="7"/>
      <c r="Y474" s="7"/>
      <c r="Z474" s="7"/>
      <c r="AA474" s="7"/>
      <c r="AB474" s="7"/>
      <c r="AC474" s="7"/>
      <c r="AD474" s="7"/>
      <c r="AE474" s="8"/>
      <c r="AF474" s="8"/>
      <c r="AG474" s="12"/>
    </row>
    <row r="475" spans="1:33" ht="19.7" customHeight="1" x14ac:dyDescent="0.25">
      <c r="A475" s="6">
        <v>43162</v>
      </c>
      <c r="B475" s="7">
        <f t="shared" si="477"/>
        <v>22208</v>
      </c>
      <c r="C475" s="7">
        <v>21868</v>
      </c>
      <c r="D475" s="7">
        <v>271</v>
      </c>
      <c r="E475" s="7">
        <v>69</v>
      </c>
      <c r="F475" s="7">
        <v>0</v>
      </c>
      <c r="G475" s="7">
        <v>0</v>
      </c>
      <c r="H475" s="7">
        <v>0</v>
      </c>
      <c r="I475" s="7">
        <v>0</v>
      </c>
      <c r="J475" s="7">
        <v>0</v>
      </c>
      <c r="K475" s="7">
        <f t="shared" ref="K475:L475" si="480">IF(B475=0,"",B475-B423)</f>
        <v>-3270</v>
      </c>
      <c r="L475" s="7">
        <f t="shared" si="480"/>
        <v>-3281</v>
      </c>
      <c r="M475" s="8">
        <f t="shared" ref="M475:N475" si="481">IF(K475="","",B475/B423-1)</f>
        <v>-0.12834602402072381</v>
      </c>
      <c r="N475" s="8">
        <f t="shared" si="481"/>
        <v>-0.13046244383474492</v>
      </c>
      <c r="O475" s="12">
        <v>3641</v>
      </c>
      <c r="Q475" s="3"/>
      <c r="R475" s="3"/>
      <c r="S475" s="6"/>
      <c r="T475" s="7"/>
      <c r="U475" s="7"/>
      <c r="V475" s="7"/>
      <c r="W475" s="7"/>
      <c r="X475" s="7"/>
      <c r="Y475" s="7"/>
      <c r="Z475" s="7"/>
      <c r="AA475" s="7"/>
      <c r="AB475" s="7"/>
      <c r="AC475" s="7"/>
      <c r="AD475" s="7"/>
      <c r="AE475" s="8"/>
      <c r="AF475" s="8"/>
      <c r="AG475" s="12"/>
    </row>
    <row r="476" spans="1:33" ht="19.7" customHeight="1" x14ac:dyDescent="0.25">
      <c r="A476" s="6">
        <v>43169</v>
      </c>
      <c r="B476" s="7">
        <f t="shared" ref="B476:B477" si="482">IF(SUM(C476:J476)="","",SUM(C476:J476))</f>
        <v>22356</v>
      </c>
      <c r="C476" s="7">
        <v>22037</v>
      </c>
      <c r="D476" s="7">
        <v>260</v>
      </c>
      <c r="E476" s="7">
        <v>59</v>
      </c>
      <c r="F476" s="7">
        <v>0</v>
      </c>
      <c r="G476" s="7">
        <v>0</v>
      </c>
      <c r="H476" s="7">
        <v>0</v>
      </c>
      <c r="I476" s="7">
        <v>0</v>
      </c>
      <c r="J476" s="7">
        <v>0</v>
      </c>
      <c r="K476" s="7">
        <f t="shared" ref="K476:L476" si="483">IF(B476=0,"",B476-B424)</f>
        <v>-2942</v>
      </c>
      <c r="L476" s="7">
        <f t="shared" si="483"/>
        <v>-2969</v>
      </c>
      <c r="M476" s="8">
        <f t="shared" ref="M476:N476" si="484">IF(K476="","",B476/B424-1)</f>
        <v>-0.11629377816428177</v>
      </c>
      <c r="N476" s="8">
        <f t="shared" si="484"/>
        <v>-0.11873150443893465</v>
      </c>
      <c r="O476" s="12">
        <v>3856</v>
      </c>
      <c r="Q476" s="3"/>
      <c r="R476" s="3"/>
      <c r="S476" s="6"/>
      <c r="T476" s="7"/>
      <c r="U476" s="7"/>
      <c r="V476" s="7"/>
      <c r="W476" s="7"/>
      <c r="X476" s="7"/>
      <c r="Y476" s="7"/>
      <c r="Z476" s="7"/>
      <c r="AA476" s="7"/>
      <c r="AB476" s="7"/>
      <c r="AC476" s="7"/>
      <c r="AD476" s="7"/>
      <c r="AE476" s="8"/>
      <c r="AF476" s="8"/>
      <c r="AG476" s="12"/>
    </row>
    <row r="477" spans="1:33" ht="19.7" customHeight="1" x14ac:dyDescent="0.25">
      <c r="A477" s="6">
        <v>43176</v>
      </c>
      <c r="B477" s="7">
        <f t="shared" si="482"/>
        <v>21812</v>
      </c>
      <c r="C477" s="7">
        <v>21497</v>
      </c>
      <c r="D477" s="7">
        <v>244</v>
      </c>
      <c r="E477" s="7">
        <v>71</v>
      </c>
      <c r="F477" s="7">
        <v>0</v>
      </c>
      <c r="G477" s="7">
        <v>0</v>
      </c>
      <c r="H477" s="7">
        <v>0</v>
      </c>
      <c r="I477" s="7">
        <v>0</v>
      </c>
      <c r="J477" s="7">
        <v>0</v>
      </c>
      <c r="K477" s="7">
        <f t="shared" ref="K477:L477" si="485">IF(B477=0,"",B477-B425)</f>
        <v>-2874</v>
      </c>
      <c r="L477" s="7">
        <f t="shared" si="485"/>
        <v>-2905</v>
      </c>
      <c r="M477" s="8">
        <f t="shared" ref="M477:N477" si="486">IF(K477="","",B477/B425-1)</f>
        <v>-0.116422263631208</v>
      </c>
      <c r="N477" s="8">
        <f t="shared" si="486"/>
        <v>-0.11904761904761907</v>
      </c>
      <c r="O477" s="12">
        <v>3688</v>
      </c>
      <c r="Q477" s="3"/>
      <c r="R477" s="3"/>
      <c r="S477" s="6"/>
      <c r="T477" s="7"/>
      <c r="U477" s="7"/>
      <c r="V477" s="7"/>
      <c r="W477" s="7"/>
      <c r="X477" s="7"/>
      <c r="Y477" s="7"/>
      <c r="Z477" s="7"/>
      <c r="AA477" s="7"/>
      <c r="AB477" s="7"/>
      <c r="AC477" s="7"/>
      <c r="AD477" s="7"/>
      <c r="AE477" s="8"/>
      <c r="AF477" s="8"/>
      <c r="AG477" s="12"/>
    </row>
    <row r="478" spans="1:33" ht="19.7" customHeight="1" x14ac:dyDescent="0.25">
      <c r="A478" s="6">
        <v>43183</v>
      </c>
      <c r="B478" s="7">
        <f t="shared" ref="B478:B479" si="487">IF(SUM(C478:J478)="","",SUM(C478:J478))</f>
        <v>22276</v>
      </c>
      <c r="C478" s="7">
        <v>21951</v>
      </c>
      <c r="D478" s="7">
        <v>254</v>
      </c>
      <c r="E478" s="7">
        <v>71</v>
      </c>
      <c r="F478" s="7">
        <v>0</v>
      </c>
      <c r="G478" s="7">
        <v>0</v>
      </c>
      <c r="H478" s="7">
        <v>0</v>
      </c>
      <c r="I478" s="7">
        <v>0</v>
      </c>
      <c r="J478" s="7">
        <v>0</v>
      </c>
      <c r="K478" s="7">
        <f t="shared" ref="K478:L478" si="488">IF(B478=0,"",B478-B426)</f>
        <v>-2296</v>
      </c>
      <c r="L478" s="7">
        <f t="shared" si="488"/>
        <v>-2349</v>
      </c>
      <c r="M478" s="8">
        <f t="shared" ref="M478:N478" si="489">IF(K478="","",B478/B426-1)</f>
        <v>-9.3439687449129116E-2</v>
      </c>
      <c r="N478" s="8">
        <f t="shared" si="489"/>
        <v>-9.6666666666666679E-2</v>
      </c>
      <c r="O478" s="12">
        <v>3927</v>
      </c>
      <c r="Q478" s="3"/>
      <c r="R478" s="3"/>
      <c r="S478" s="6"/>
      <c r="T478" s="7"/>
      <c r="U478" s="7"/>
      <c r="V478" s="7"/>
      <c r="W478" s="7"/>
      <c r="X478" s="7"/>
      <c r="Y478" s="7"/>
      <c r="Z478" s="7"/>
      <c r="AA478" s="7"/>
      <c r="AB478" s="7"/>
      <c r="AC478" s="7"/>
      <c r="AD478" s="7"/>
      <c r="AE478" s="8"/>
      <c r="AF478" s="8"/>
      <c r="AG478" s="12"/>
    </row>
    <row r="479" spans="1:33" ht="19.7" customHeight="1" x14ac:dyDescent="0.25">
      <c r="A479" s="6">
        <v>43190</v>
      </c>
      <c r="B479" s="7">
        <f t="shared" si="487"/>
        <v>21936</v>
      </c>
      <c r="C479" s="7">
        <v>21642</v>
      </c>
      <c r="D479" s="7">
        <v>217</v>
      </c>
      <c r="E479" s="7">
        <v>77</v>
      </c>
      <c r="F479" s="7">
        <v>0</v>
      </c>
      <c r="G479" s="7">
        <v>0</v>
      </c>
      <c r="H479" s="7">
        <v>0</v>
      </c>
      <c r="I479" s="7">
        <v>0</v>
      </c>
      <c r="J479" s="7">
        <v>0</v>
      </c>
      <c r="K479" s="7">
        <f t="shared" ref="K479:L479" si="490">IF(B479=0,"",B479-B427)</f>
        <v>-2674</v>
      </c>
      <c r="L479" s="7">
        <f t="shared" si="490"/>
        <v>-2679</v>
      </c>
      <c r="M479" s="8">
        <f t="shared" ref="M479:N479" si="491">IF(K479="","",B479/B427-1)</f>
        <v>-0.10865501828524993</v>
      </c>
      <c r="N479" s="8">
        <f t="shared" si="491"/>
        <v>-0.1101517207351671</v>
      </c>
      <c r="O479" s="12">
        <v>3869</v>
      </c>
      <c r="Q479" s="3"/>
      <c r="R479" s="3"/>
      <c r="S479" s="6"/>
      <c r="T479" s="7"/>
      <c r="U479" s="7"/>
      <c r="V479" s="7"/>
      <c r="W479" s="7"/>
      <c r="X479" s="7"/>
      <c r="Y479" s="7"/>
      <c r="Z479" s="7"/>
      <c r="AA479" s="7"/>
      <c r="AB479" s="7"/>
      <c r="AC479" s="7"/>
      <c r="AD479" s="7"/>
      <c r="AE479" s="8"/>
      <c r="AF479" s="8"/>
      <c r="AG479" s="12"/>
    </row>
    <row r="480" spans="1:33" ht="19.7" customHeight="1" x14ac:dyDescent="0.25">
      <c r="A480" s="6">
        <v>43197</v>
      </c>
      <c r="B480" s="7">
        <f t="shared" ref="B480:B481" si="492">IF(SUM(C480:J480)="","",SUM(C480:J480))</f>
        <v>21990</v>
      </c>
      <c r="C480" s="7">
        <v>21709</v>
      </c>
      <c r="D480" s="7">
        <v>210</v>
      </c>
      <c r="E480" s="7">
        <v>71</v>
      </c>
      <c r="F480" s="7">
        <v>0</v>
      </c>
      <c r="G480" s="7">
        <v>0</v>
      </c>
      <c r="H480" s="7">
        <v>0</v>
      </c>
      <c r="I480" s="7">
        <v>0</v>
      </c>
      <c r="J480" s="7">
        <v>0</v>
      </c>
      <c r="K480" s="7">
        <f t="shared" ref="K480:L480" si="493">IF(B480=0,"",B480-B428)</f>
        <v>-2773</v>
      </c>
      <c r="L480" s="7">
        <f t="shared" si="493"/>
        <v>-2801</v>
      </c>
      <c r="M480" s="8">
        <f t="shared" ref="M480:N480" si="494">IF(K480="","",B480/B428-1)</f>
        <v>-0.11198158542987524</v>
      </c>
      <c r="N480" s="8">
        <f t="shared" si="494"/>
        <v>-0.11427988576091386</v>
      </c>
      <c r="O480" s="12">
        <v>6215</v>
      </c>
      <c r="Q480" s="3"/>
      <c r="R480" s="3"/>
      <c r="S480" s="6"/>
      <c r="T480" s="7"/>
      <c r="U480" s="7"/>
      <c r="V480" s="7"/>
      <c r="W480" s="7"/>
      <c r="X480" s="7"/>
      <c r="Y480" s="7"/>
      <c r="Z480" s="7"/>
      <c r="AA480" s="7"/>
      <c r="AB480" s="7"/>
      <c r="AC480" s="7"/>
      <c r="AD480" s="7"/>
      <c r="AE480" s="8"/>
      <c r="AF480" s="8"/>
      <c r="AG480" s="12"/>
    </row>
    <row r="481" spans="1:33" ht="19.7" customHeight="1" x14ac:dyDescent="0.25">
      <c r="A481" s="6">
        <v>43204</v>
      </c>
      <c r="B481" s="7">
        <f t="shared" si="492"/>
        <v>23221</v>
      </c>
      <c r="C481" s="7">
        <v>22970</v>
      </c>
      <c r="D481" s="7">
        <v>175</v>
      </c>
      <c r="E481" s="7">
        <v>76</v>
      </c>
      <c r="F481" s="7">
        <v>0</v>
      </c>
      <c r="G481" s="7">
        <v>0</v>
      </c>
      <c r="H481" s="7">
        <v>0</v>
      </c>
      <c r="I481" s="7">
        <v>0</v>
      </c>
      <c r="J481" s="7">
        <v>0</v>
      </c>
      <c r="K481" s="7">
        <f t="shared" ref="K481:L481" si="495">IF(B481=0,"",B481-B429)</f>
        <v>-2994</v>
      </c>
      <c r="L481" s="7">
        <f t="shared" si="495"/>
        <v>-2998</v>
      </c>
      <c r="M481" s="8">
        <f t="shared" ref="M481:N481" si="496">IF(K481="","",B481/B429-1)</f>
        <v>-0.11420942208659168</v>
      </c>
      <c r="N481" s="8">
        <f t="shared" si="496"/>
        <v>-0.11544978434996922</v>
      </c>
      <c r="O481" s="12">
        <v>5935</v>
      </c>
      <c r="Q481" s="3"/>
      <c r="R481" s="3"/>
      <c r="S481" s="6"/>
      <c r="T481" s="7"/>
      <c r="U481" s="7"/>
      <c r="V481" s="7"/>
      <c r="W481" s="7"/>
      <c r="X481" s="7"/>
      <c r="Y481" s="7"/>
      <c r="Z481" s="7"/>
      <c r="AA481" s="7"/>
      <c r="AB481" s="7"/>
      <c r="AC481" s="7"/>
      <c r="AD481" s="7"/>
      <c r="AE481" s="8"/>
      <c r="AF481" s="8"/>
      <c r="AG481" s="12"/>
    </row>
    <row r="482" spans="1:33" ht="19.7" customHeight="1" x14ac:dyDescent="0.25">
      <c r="A482" s="6">
        <v>43211</v>
      </c>
      <c r="B482" s="7">
        <f t="shared" ref="B482:B483" si="497">IF(SUM(C482:J482)="","",SUM(C482:J482))</f>
        <v>25076</v>
      </c>
      <c r="C482" s="7">
        <v>24835</v>
      </c>
      <c r="D482" s="7">
        <v>171</v>
      </c>
      <c r="E482" s="7">
        <v>70</v>
      </c>
      <c r="F482" s="7">
        <v>0</v>
      </c>
      <c r="G482" s="7">
        <v>0</v>
      </c>
      <c r="H482" s="7">
        <v>0</v>
      </c>
      <c r="I482" s="7">
        <v>0</v>
      </c>
      <c r="J482" s="7">
        <v>0</v>
      </c>
      <c r="K482" s="7">
        <f t="shared" ref="K482:L482" si="498">IF(B482=0,"",B482-B430)</f>
        <v>-3033</v>
      </c>
      <c r="L482" s="7">
        <f t="shared" si="498"/>
        <v>-3044</v>
      </c>
      <c r="M482" s="8">
        <f t="shared" ref="M482:N482" si="499">IF(K482="","",B482/B430-1)</f>
        <v>-0.10790138389839554</v>
      </c>
      <c r="N482" s="8">
        <f t="shared" si="499"/>
        <v>-0.10918612575773878</v>
      </c>
      <c r="O482" s="12">
        <v>5981</v>
      </c>
      <c r="Q482" s="3"/>
      <c r="R482" s="3"/>
      <c r="S482" s="6"/>
      <c r="T482" s="7"/>
      <c r="U482" s="7"/>
      <c r="V482" s="7"/>
      <c r="W482" s="7"/>
      <c r="X482" s="7"/>
      <c r="Y482" s="7"/>
      <c r="Z482" s="7"/>
      <c r="AA482" s="7"/>
      <c r="AB482" s="7"/>
      <c r="AC482" s="7"/>
      <c r="AD482" s="7"/>
      <c r="AE482" s="8"/>
      <c r="AF482" s="8"/>
      <c r="AG482" s="12"/>
    </row>
    <row r="483" spans="1:33" ht="19.7" customHeight="1" x14ac:dyDescent="0.25">
      <c r="A483" s="6">
        <v>43218</v>
      </c>
      <c r="B483" s="7">
        <f t="shared" si="497"/>
        <v>26592</v>
      </c>
      <c r="C483" s="7">
        <v>26390</v>
      </c>
      <c r="D483" s="7">
        <v>130</v>
      </c>
      <c r="E483" s="7">
        <v>72</v>
      </c>
      <c r="F483" s="7">
        <v>0</v>
      </c>
      <c r="G483" s="7">
        <v>0</v>
      </c>
      <c r="H483" s="7">
        <v>0</v>
      </c>
      <c r="I483" s="7">
        <v>0</v>
      </c>
      <c r="J483" s="7">
        <v>0</v>
      </c>
      <c r="K483" s="7">
        <f t="shared" ref="K483:L483" si="500">IF(B483=0,"",B483-B431)</f>
        <v>-2746</v>
      </c>
      <c r="L483" s="7">
        <f t="shared" si="500"/>
        <v>-2708</v>
      </c>
      <c r="M483" s="8">
        <f t="shared" ref="M483:N483" si="501">IF(K483="","",B483/B431-1)</f>
        <v>-9.3598745654100535E-2</v>
      </c>
      <c r="N483" s="8">
        <f t="shared" si="501"/>
        <v>-9.3064815451233796E-2</v>
      </c>
      <c r="O483" s="12">
        <v>4510</v>
      </c>
      <c r="Q483" s="3"/>
      <c r="R483" s="3"/>
      <c r="S483" s="6"/>
      <c r="T483" s="7"/>
      <c r="U483" s="7"/>
      <c r="V483" s="7"/>
      <c r="W483" s="7"/>
      <c r="X483" s="7"/>
      <c r="Y483" s="7"/>
      <c r="Z483" s="7"/>
      <c r="AA483" s="7"/>
      <c r="AB483" s="7"/>
      <c r="AC483" s="7"/>
      <c r="AD483" s="7"/>
      <c r="AE483" s="8"/>
      <c r="AF483" s="8"/>
      <c r="AG483" s="12"/>
    </row>
    <row r="484" spans="1:33" ht="19.7" customHeight="1" x14ac:dyDescent="0.25">
      <c r="A484" s="6">
        <v>43225</v>
      </c>
      <c r="B484" s="7">
        <f t="shared" ref="B484:B485" si="502">IF(SUM(C484:J484)="","",SUM(C484:J484))</f>
        <v>27591</v>
      </c>
      <c r="C484" s="7">
        <v>27398</v>
      </c>
      <c r="D484" s="7">
        <v>127</v>
      </c>
      <c r="E484" s="7">
        <v>66</v>
      </c>
      <c r="F484" s="7">
        <v>0</v>
      </c>
      <c r="G484" s="7">
        <v>0</v>
      </c>
      <c r="H484" s="7">
        <v>0</v>
      </c>
      <c r="I484" s="7">
        <v>0</v>
      </c>
      <c r="J484" s="7">
        <v>0</v>
      </c>
      <c r="K484" s="7">
        <f t="shared" ref="K484:L484" si="503">IF(B484=0,"",B484-B432)</f>
        <v>-2729</v>
      </c>
      <c r="L484" s="7">
        <f t="shared" si="503"/>
        <v>-2696</v>
      </c>
      <c r="M484" s="8">
        <f t="shared" ref="M484:N484" si="504">IF(K484="","",B484/B432-1)</f>
        <v>-9.0006596306068554E-2</v>
      </c>
      <c r="N484" s="8">
        <f t="shared" si="504"/>
        <v>-8.958596397953078E-2</v>
      </c>
      <c r="O484" s="12">
        <v>4660</v>
      </c>
      <c r="Q484" s="3"/>
      <c r="R484" s="3"/>
      <c r="S484" s="6"/>
      <c r="T484" s="7"/>
      <c r="U484" s="7"/>
      <c r="V484" s="7"/>
      <c r="W484" s="7"/>
      <c r="X484" s="7"/>
      <c r="Y484" s="7"/>
      <c r="Z484" s="7"/>
      <c r="AA484" s="7"/>
      <c r="AB484" s="7"/>
      <c r="AC484" s="7"/>
      <c r="AD484" s="7"/>
      <c r="AE484" s="8"/>
      <c r="AF484" s="8"/>
      <c r="AG484" s="12"/>
    </row>
    <row r="485" spans="1:33" ht="19.7" customHeight="1" x14ac:dyDescent="0.25">
      <c r="A485" s="6">
        <v>43232</v>
      </c>
      <c r="B485" s="7">
        <f t="shared" si="502"/>
        <v>27424</v>
      </c>
      <c r="C485" s="7">
        <v>27257</v>
      </c>
      <c r="D485" s="7">
        <v>103</v>
      </c>
      <c r="E485" s="7">
        <v>64</v>
      </c>
      <c r="F485" s="7">
        <v>0</v>
      </c>
      <c r="G485" s="7">
        <v>0</v>
      </c>
      <c r="H485" s="7">
        <v>0</v>
      </c>
      <c r="I485" s="7">
        <v>0</v>
      </c>
      <c r="J485" s="7">
        <v>0</v>
      </c>
      <c r="K485" s="7">
        <f t="shared" ref="K485:L485" si="505">IF(B485=0,"",B485-B433)</f>
        <v>-2213</v>
      </c>
      <c r="L485" s="7">
        <f t="shared" si="505"/>
        <v>-2159</v>
      </c>
      <c r="M485" s="8">
        <f t="shared" ref="M485:N485" si="506">IF(K485="","",B485/B433-1)</f>
        <v>-7.4670175793771332E-2</v>
      </c>
      <c r="N485" s="8">
        <f t="shared" si="506"/>
        <v>-7.3395431057927674E-2</v>
      </c>
      <c r="O485" s="12">
        <v>4148</v>
      </c>
      <c r="Q485" s="3"/>
      <c r="R485" s="3"/>
      <c r="S485" s="6"/>
      <c r="T485" s="7"/>
      <c r="U485" s="7"/>
      <c r="V485" s="7"/>
      <c r="W485" s="7"/>
      <c r="X485" s="7"/>
      <c r="Y485" s="7"/>
      <c r="Z485" s="7"/>
      <c r="AA485" s="7"/>
      <c r="AB485" s="7"/>
      <c r="AC485" s="7"/>
      <c r="AD485" s="7"/>
      <c r="AE485" s="8"/>
      <c r="AF485" s="8"/>
      <c r="AG485" s="12"/>
    </row>
    <row r="486" spans="1:33" ht="19.7" customHeight="1" x14ac:dyDescent="0.25">
      <c r="A486" s="6">
        <v>43239</v>
      </c>
      <c r="B486" s="7">
        <f t="shared" ref="B486:B487" si="507">IF(SUM(C486:J486)="","",SUM(C486:J486))</f>
        <v>27786</v>
      </c>
      <c r="C486" s="7">
        <v>27631</v>
      </c>
      <c r="D486" s="7">
        <v>100</v>
      </c>
      <c r="E486" s="7">
        <v>55</v>
      </c>
      <c r="F486" s="7">
        <v>0</v>
      </c>
      <c r="G486" s="7">
        <v>0</v>
      </c>
      <c r="H486" s="7">
        <v>0</v>
      </c>
      <c r="I486" s="7">
        <v>0</v>
      </c>
      <c r="J486" s="7">
        <v>0</v>
      </c>
      <c r="K486" s="7">
        <f t="shared" ref="K486:L486" si="508">IF(B486=0,"",B486-B434)</f>
        <v>-2751</v>
      </c>
      <c r="L486" s="7">
        <f t="shared" si="508"/>
        <v>-2689</v>
      </c>
      <c r="M486" s="8">
        <f t="shared" ref="M486:N486" si="509">IF(K486="","",B486/B434-1)</f>
        <v>-9.0087434915021136E-2</v>
      </c>
      <c r="N486" s="8">
        <f t="shared" si="509"/>
        <v>-8.8687335092348274E-2</v>
      </c>
      <c r="O486" s="12">
        <v>4409</v>
      </c>
      <c r="Q486" s="3"/>
      <c r="R486" s="3"/>
      <c r="S486" s="6"/>
      <c r="T486" s="7"/>
      <c r="U486" s="7"/>
      <c r="V486" s="7"/>
      <c r="W486" s="7"/>
      <c r="X486" s="7"/>
      <c r="Y486" s="7"/>
      <c r="Z486" s="7"/>
      <c r="AA486" s="7"/>
      <c r="AB486" s="7"/>
      <c r="AC486" s="7"/>
      <c r="AD486" s="7"/>
      <c r="AE486" s="8"/>
      <c r="AF486" s="8"/>
      <c r="AG486" s="12"/>
    </row>
    <row r="487" spans="1:33" ht="19.7" customHeight="1" x14ac:dyDescent="0.25">
      <c r="A487" s="6">
        <v>43246</v>
      </c>
      <c r="B487" s="7">
        <f t="shared" si="507"/>
        <v>27656</v>
      </c>
      <c r="C487" s="7">
        <v>27506</v>
      </c>
      <c r="D487" s="7">
        <v>79</v>
      </c>
      <c r="E487" s="7">
        <v>71</v>
      </c>
      <c r="F487" s="7">
        <v>0</v>
      </c>
      <c r="G487" s="7">
        <v>0</v>
      </c>
      <c r="H487" s="7">
        <v>0</v>
      </c>
      <c r="I487" s="7">
        <v>0</v>
      </c>
      <c r="J487" s="7">
        <v>0</v>
      </c>
      <c r="K487" s="7">
        <f t="shared" ref="K487:L487" si="510">IF(B487=0,"",B487-B435)</f>
        <v>-2019</v>
      </c>
      <c r="L487" s="7">
        <f t="shared" si="510"/>
        <v>-1951</v>
      </c>
      <c r="M487" s="8">
        <f t="shared" ref="M487:N487" si="511">IF(K487="","",B487/B435-1)</f>
        <v>-6.8037068239258591E-2</v>
      </c>
      <c r="N487" s="8">
        <f t="shared" si="511"/>
        <v>-6.6232134976406232E-2</v>
      </c>
      <c r="O487" s="12">
        <v>4443</v>
      </c>
      <c r="Q487" s="3"/>
      <c r="R487" s="3"/>
      <c r="S487" s="6"/>
      <c r="T487" s="7"/>
      <c r="U487" s="7"/>
      <c r="V487" s="7"/>
      <c r="W487" s="7"/>
      <c r="X487" s="7"/>
      <c r="Y487" s="7"/>
      <c r="Z487" s="7"/>
      <c r="AA487" s="7"/>
      <c r="AB487" s="7"/>
      <c r="AC487" s="7"/>
      <c r="AD487" s="7"/>
      <c r="AE487" s="8"/>
      <c r="AF487" s="8"/>
      <c r="AG487" s="12"/>
    </row>
    <row r="488" spans="1:33" ht="19.7" customHeight="1" x14ac:dyDescent="0.25">
      <c r="A488" s="6">
        <v>43253</v>
      </c>
      <c r="B488" s="7">
        <f t="shared" ref="B488:B489" si="512">IF(SUM(C488:J488)="","",SUM(C488:J488))</f>
        <v>27879</v>
      </c>
      <c r="C488" s="7">
        <v>27716</v>
      </c>
      <c r="D488" s="7">
        <v>97</v>
      </c>
      <c r="E488" s="7">
        <v>66</v>
      </c>
      <c r="F488" s="7">
        <v>0</v>
      </c>
      <c r="G488" s="7">
        <v>0</v>
      </c>
      <c r="H488" s="7">
        <v>0</v>
      </c>
      <c r="I488" s="7">
        <v>0</v>
      </c>
      <c r="J488" s="7">
        <v>0</v>
      </c>
      <c r="K488" s="7">
        <f t="shared" ref="K488:L488" si="513">IF(B488=0,"",B488-B436)</f>
        <v>-1720</v>
      </c>
      <c r="L488" s="7">
        <f t="shared" si="513"/>
        <v>-1650</v>
      </c>
      <c r="M488" s="8">
        <f t="shared" ref="M488:N488" si="514">IF(K488="","",B488/B436-1)</f>
        <v>-5.8110071286192055E-2</v>
      </c>
      <c r="N488" s="8">
        <f t="shared" si="514"/>
        <v>-5.6187427637403808E-2</v>
      </c>
      <c r="O488" s="12">
        <v>4300</v>
      </c>
      <c r="Q488" s="3"/>
      <c r="R488" s="3"/>
      <c r="S488" s="6"/>
      <c r="T488" s="7"/>
      <c r="U488" s="7"/>
      <c r="V488" s="7"/>
      <c r="W488" s="7"/>
      <c r="X488" s="7"/>
      <c r="Y488" s="7"/>
      <c r="Z488" s="7"/>
      <c r="AA488" s="7"/>
      <c r="AB488" s="7"/>
      <c r="AC488" s="7"/>
      <c r="AD488" s="7"/>
      <c r="AE488" s="8"/>
      <c r="AF488" s="8"/>
      <c r="AG488" s="12"/>
    </row>
    <row r="489" spans="1:33" ht="19.7" customHeight="1" x14ac:dyDescent="0.25">
      <c r="A489" s="6">
        <v>43260</v>
      </c>
      <c r="B489" s="7">
        <f t="shared" si="512"/>
        <v>28147</v>
      </c>
      <c r="C489" s="7">
        <v>27928</v>
      </c>
      <c r="D489" s="7">
        <v>151</v>
      </c>
      <c r="E489" s="7">
        <v>68</v>
      </c>
      <c r="F489" s="7">
        <v>0</v>
      </c>
      <c r="G489" s="7">
        <v>0</v>
      </c>
      <c r="H489" s="7">
        <v>0</v>
      </c>
      <c r="I489" s="7">
        <v>0</v>
      </c>
      <c r="J489" s="7">
        <v>0</v>
      </c>
      <c r="K489" s="7">
        <f t="shared" ref="K489:L489" si="515">IF(B489=0,"",B489-B437)</f>
        <v>-2328</v>
      </c>
      <c r="L489" s="7">
        <f t="shared" si="515"/>
        <v>-2287</v>
      </c>
      <c r="M489" s="8">
        <f t="shared" ref="M489:N489" si="516">IF(K489="","",B489/B437-1)</f>
        <v>-7.6390484003281411E-2</v>
      </c>
      <c r="N489" s="8">
        <f t="shared" si="516"/>
        <v>-7.5690882012245608E-2</v>
      </c>
      <c r="O489" s="12">
        <v>4650</v>
      </c>
      <c r="Q489" s="3"/>
      <c r="R489" s="3"/>
      <c r="S489" s="6"/>
      <c r="T489" s="7"/>
      <c r="U489" s="7"/>
      <c r="V489" s="7"/>
      <c r="W489" s="7"/>
      <c r="X489" s="7"/>
      <c r="Y489" s="7"/>
      <c r="Z489" s="7"/>
      <c r="AA489" s="7"/>
      <c r="AB489" s="7"/>
      <c r="AC489" s="7"/>
      <c r="AD489" s="7"/>
      <c r="AE489" s="8"/>
      <c r="AF489" s="8"/>
      <c r="AG489" s="12"/>
    </row>
    <row r="490" spans="1:33" ht="19.7" customHeight="1" x14ac:dyDescent="0.25">
      <c r="A490" s="6">
        <v>43267</v>
      </c>
      <c r="B490" s="7">
        <f t="shared" ref="B490:B491" si="517">IF(SUM(C490:J490)="","",SUM(C490:J490))</f>
        <v>28805</v>
      </c>
      <c r="C490" s="7">
        <v>28555</v>
      </c>
      <c r="D490" s="7">
        <v>187</v>
      </c>
      <c r="E490" s="7">
        <v>63</v>
      </c>
      <c r="F490" s="7">
        <v>0</v>
      </c>
      <c r="G490" s="7">
        <v>0</v>
      </c>
      <c r="H490" s="7">
        <v>0</v>
      </c>
      <c r="I490" s="7">
        <v>0</v>
      </c>
      <c r="J490" s="7">
        <v>0</v>
      </c>
      <c r="K490" s="7">
        <f t="shared" ref="K490:L490" si="518">IF(B490=0,"",B490-B438)</f>
        <v>-2176</v>
      </c>
      <c r="L490" s="7">
        <f t="shared" si="518"/>
        <v>-2148</v>
      </c>
      <c r="M490" s="8">
        <f t="shared" ref="M490:N490" si="519">IF(K490="","",B490/B438-1)</f>
        <v>-7.0236596623737158E-2</v>
      </c>
      <c r="N490" s="8">
        <f t="shared" si="519"/>
        <v>-6.9960590170341619E-2</v>
      </c>
      <c r="O490" s="12">
        <v>4298</v>
      </c>
      <c r="Q490" s="3"/>
      <c r="R490" s="3"/>
      <c r="S490" s="6"/>
      <c r="T490" s="7"/>
      <c r="U490" s="7"/>
      <c r="V490" s="7"/>
      <c r="W490" s="7"/>
      <c r="X490" s="7"/>
      <c r="Y490" s="7"/>
      <c r="Z490" s="7"/>
      <c r="AA490" s="7"/>
      <c r="AB490" s="7"/>
      <c r="AC490" s="7"/>
      <c r="AD490" s="7"/>
      <c r="AE490" s="8"/>
      <c r="AF490" s="8"/>
      <c r="AG490" s="12"/>
    </row>
    <row r="491" spans="1:33" ht="19.7" customHeight="1" x14ac:dyDescent="0.25">
      <c r="A491" s="6">
        <v>43274</v>
      </c>
      <c r="B491" s="7">
        <f t="shared" si="517"/>
        <v>28577</v>
      </c>
      <c r="C491" s="7">
        <v>28321</v>
      </c>
      <c r="D491" s="7">
        <v>188</v>
      </c>
      <c r="E491" s="7">
        <v>68</v>
      </c>
      <c r="F491" s="7">
        <v>0</v>
      </c>
      <c r="G491" s="7">
        <v>0</v>
      </c>
      <c r="H491" s="7">
        <v>0</v>
      </c>
      <c r="I491" s="7">
        <v>0</v>
      </c>
      <c r="J491" s="7">
        <v>0</v>
      </c>
      <c r="K491" s="7">
        <f t="shared" ref="K491:L491" si="520">IF(B491=0,"",B491-B439)</f>
        <v>-2640</v>
      </c>
      <c r="L491" s="7">
        <f t="shared" si="520"/>
        <v>-2592</v>
      </c>
      <c r="M491" s="8">
        <f t="shared" ref="M491:N491" si="521">IF(K491="","",B491/B439-1)</f>
        <v>-8.45693051862767E-2</v>
      </c>
      <c r="N491" s="8">
        <f t="shared" si="521"/>
        <v>-8.3848219195807538E-2</v>
      </c>
      <c r="O491" s="12">
        <v>4318</v>
      </c>
      <c r="Q491" s="3"/>
      <c r="R491" s="3"/>
      <c r="S491" s="6"/>
      <c r="T491" s="7"/>
      <c r="U491" s="7"/>
      <c r="V491" s="7"/>
      <c r="W491" s="7"/>
      <c r="X491" s="7"/>
      <c r="Y491" s="7"/>
      <c r="Z491" s="7"/>
      <c r="AA491" s="7"/>
      <c r="AB491" s="7"/>
      <c r="AC491" s="7"/>
      <c r="AD491" s="7"/>
      <c r="AE491" s="8"/>
      <c r="AF491" s="8"/>
      <c r="AG491" s="12"/>
    </row>
    <row r="492" spans="1:33" ht="19.7" customHeight="1" x14ac:dyDescent="0.25">
      <c r="A492" s="6">
        <v>43281</v>
      </c>
      <c r="B492" s="7">
        <f t="shared" ref="B492:B493" si="522">IF(SUM(C492:J492)="","",SUM(C492:J492))</f>
        <v>29319</v>
      </c>
      <c r="C492" s="7">
        <v>29042</v>
      </c>
      <c r="D492" s="7">
        <v>204</v>
      </c>
      <c r="E492" s="7">
        <v>73</v>
      </c>
      <c r="F492" s="7">
        <v>0</v>
      </c>
      <c r="G492" s="7">
        <v>0</v>
      </c>
      <c r="H492" s="7">
        <v>0</v>
      </c>
      <c r="I492" s="7">
        <v>0</v>
      </c>
      <c r="J492" s="7">
        <v>0</v>
      </c>
      <c r="K492" s="7">
        <f t="shared" ref="K492:L492" si="523">IF(B492=0,"",B492-B440)</f>
        <v>-2633</v>
      </c>
      <c r="L492" s="7">
        <f t="shared" si="523"/>
        <v>-2596</v>
      </c>
      <c r="M492" s="8">
        <f t="shared" ref="M492:N492" si="524">IF(K492="","",B492/B440-1)</f>
        <v>-8.2404857285928945E-2</v>
      </c>
      <c r="N492" s="8">
        <f t="shared" si="524"/>
        <v>-8.2053227131929973E-2</v>
      </c>
      <c r="O492" s="12">
        <v>4586</v>
      </c>
      <c r="Q492" s="3"/>
      <c r="R492" s="3"/>
      <c r="S492" s="6"/>
      <c r="T492" s="7"/>
      <c r="U492" s="7"/>
      <c r="V492" s="7"/>
      <c r="W492" s="7"/>
      <c r="X492" s="7"/>
      <c r="Y492" s="7"/>
      <c r="Z492" s="7"/>
      <c r="AA492" s="7"/>
      <c r="AB492" s="7"/>
      <c r="AC492" s="7"/>
      <c r="AD492" s="7"/>
      <c r="AE492" s="8"/>
      <c r="AF492" s="8"/>
      <c r="AG492" s="12"/>
    </row>
    <row r="493" spans="1:33" ht="19.7" customHeight="1" x14ac:dyDescent="0.25">
      <c r="A493" s="6">
        <v>43288</v>
      </c>
      <c r="B493" s="7">
        <f t="shared" si="522"/>
        <v>29184</v>
      </c>
      <c r="C493" s="7">
        <v>28896</v>
      </c>
      <c r="D493" s="7">
        <v>215</v>
      </c>
      <c r="E493" s="7">
        <v>73</v>
      </c>
      <c r="F493" s="7">
        <v>0</v>
      </c>
      <c r="G493" s="7">
        <v>0</v>
      </c>
      <c r="H493" s="7">
        <v>0</v>
      </c>
      <c r="I493" s="7">
        <v>0</v>
      </c>
      <c r="J493" s="7">
        <v>0</v>
      </c>
      <c r="K493" s="7">
        <f t="shared" ref="K493:L493" si="525">IF(B493=0,"",B493-B441)</f>
        <v>-2258</v>
      </c>
      <c r="L493" s="7">
        <f t="shared" si="525"/>
        <v>-2249</v>
      </c>
      <c r="M493" s="8">
        <f t="shared" ref="M493:N493" si="526">IF(K493="","",B493/B441-1)</f>
        <v>-7.1814770052795573E-2</v>
      </c>
      <c r="N493" s="8">
        <f t="shared" si="526"/>
        <v>-7.2210627709102582E-2</v>
      </c>
      <c r="O493" s="12">
        <v>5669</v>
      </c>
      <c r="Q493" s="3"/>
      <c r="R493" s="3"/>
      <c r="S493" s="6"/>
      <c r="T493" s="7"/>
      <c r="U493" s="7"/>
      <c r="V493" s="7"/>
      <c r="W493" s="7"/>
      <c r="X493" s="7"/>
      <c r="Y493" s="7"/>
      <c r="Z493" s="7"/>
      <c r="AA493" s="7"/>
      <c r="AB493" s="7"/>
      <c r="AC493" s="7"/>
      <c r="AD493" s="7"/>
      <c r="AE493" s="8"/>
      <c r="AF493" s="8"/>
      <c r="AG493" s="12"/>
    </row>
    <row r="494" spans="1:33" ht="19.7" customHeight="1" x14ac:dyDescent="0.25">
      <c r="A494" s="6">
        <v>43295</v>
      </c>
      <c r="B494" s="7">
        <f t="shared" ref="B494:B495" si="527">IF(SUM(C494:J494)="","",SUM(C494:J494))</f>
        <v>31541</v>
      </c>
      <c r="C494" s="7">
        <v>31210</v>
      </c>
      <c r="D494" s="7">
        <v>248</v>
      </c>
      <c r="E494" s="7">
        <v>83</v>
      </c>
      <c r="F494" s="7">
        <v>0</v>
      </c>
      <c r="G494" s="7">
        <v>0</v>
      </c>
      <c r="H494" s="7">
        <v>0</v>
      </c>
      <c r="I494" s="7">
        <v>0</v>
      </c>
      <c r="J494" s="7">
        <v>0</v>
      </c>
      <c r="K494" s="7">
        <f t="shared" ref="K494:L494" si="528">IF(B494=0,"",B494-B442)</f>
        <v>-2976</v>
      </c>
      <c r="L494" s="7">
        <f t="shared" si="528"/>
        <v>-2968</v>
      </c>
      <c r="M494" s="8">
        <f t="shared" ref="M494:N494" si="529">IF(K494="","",B494/B442-1)</f>
        <v>-8.6218385143552401E-2</v>
      </c>
      <c r="N494" s="8">
        <f t="shared" si="529"/>
        <v>-8.6839487389548831E-2</v>
      </c>
      <c r="O494" s="12">
        <v>5041</v>
      </c>
      <c r="Q494" s="3"/>
      <c r="R494" s="3"/>
      <c r="S494" s="6"/>
      <c r="T494" s="7"/>
      <c r="U494" s="7"/>
      <c r="V494" s="7"/>
      <c r="W494" s="7"/>
      <c r="X494" s="7"/>
      <c r="Y494" s="7"/>
      <c r="Z494" s="7"/>
      <c r="AA494" s="7"/>
      <c r="AB494" s="7"/>
      <c r="AC494" s="7"/>
      <c r="AD494" s="7"/>
      <c r="AE494" s="8"/>
      <c r="AF494" s="8"/>
      <c r="AG494" s="12"/>
    </row>
    <row r="495" spans="1:33" ht="19.7" customHeight="1" x14ac:dyDescent="0.25">
      <c r="A495" s="6">
        <v>43302</v>
      </c>
      <c r="B495" s="7">
        <f t="shared" si="527"/>
        <v>32010</v>
      </c>
      <c r="C495" s="7">
        <v>31670</v>
      </c>
      <c r="D495" s="7">
        <v>264</v>
      </c>
      <c r="E495" s="7">
        <v>76</v>
      </c>
      <c r="F495" s="7">
        <v>0</v>
      </c>
      <c r="G495" s="7">
        <v>0</v>
      </c>
      <c r="H495" s="7">
        <v>0</v>
      </c>
      <c r="I495" s="7">
        <v>0</v>
      </c>
      <c r="J495" s="7">
        <v>0</v>
      </c>
      <c r="K495" s="7">
        <f t="shared" ref="K495:L495" si="530">IF(B495=0,"",B495-B443)</f>
        <v>-2534</v>
      </c>
      <c r="L495" s="7">
        <f t="shared" si="530"/>
        <v>-2543</v>
      </c>
      <c r="M495" s="8">
        <f t="shared" ref="M495:N495" si="531">IF(K495="","",B495/B443-1)</f>
        <v>-7.335572024085224E-2</v>
      </c>
      <c r="N495" s="8">
        <f t="shared" si="531"/>
        <v>-7.4328471633589577E-2</v>
      </c>
      <c r="O495" s="12">
        <v>4300</v>
      </c>
      <c r="Q495" s="3"/>
      <c r="R495" s="3"/>
      <c r="S495" s="6"/>
      <c r="T495" s="7"/>
      <c r="U495" s="7"/>
      <c r="V495" s="7"/>
      <c r="W495" s="7"/>
      <c r="X495" s="7"/>
      <c r="Y495" s="7"/>
      <c r="Z495" s="7"/>
      <c r="AA495" s="7"/>
      <c r="AB495" s="7"/>
      <c r="AC495" s="7"/>
      <c r="AD495" s="7"/>
      <c r="AE495" s="8"/>
      <c r="AF495" s="8"/>
      <c r="AG495" s="12"/>
    </row>
    <row r="496" spans="1:33" ht="19.7" customHeight="1" x14ac:dyDescent="0.25">
      <c r="A496" s="6">
        <v>43309</v>
      </c>
      <c r="B496" s="7">
        <f t="shared" ref="B496" si="532">IF(SUM(C496:J496)="","",SUM(C496:J496))</f>
        <v>32577</v>
      </c>
      <c r="C496" s="7">
        <v>32241</v>
      </c>
      <c r="D496" s="7">
        <v>270</v>
      </c>
      <c r="E496" s="7">
        <v>66</v>
      </c>
      <c r="F496" s="7">
        <v>0</v>
      </c>
      <c r="G496" s="7">
        <v>0</v>
      </c>
      <c r="H496" s="7">
        <v>0</v>
      </c>
      <c r="I496" s="7">
        <v>0</v>
      </c>
      <c r="J496" s="7">
        <v>0</v>
      </c>
      <c r="K496" s="7">
        <f t="shared" ref="K496:L496" si="533">IF(B496=0,"",B496-B444)</f>
        <v>-2815</v>
      </c>
      <c r="L496" s="7">
        <f t="shared" si="533"/>
        <v>-2827</v>
      </c>
      <c r="M496" s="8">
        <f t="shared" ref="M496:N496" si="534">IF(K496="","",B496/B444-1)</f>
        <v>-7.9537748643761286E-2</v>
      </c>
      <c r="N496" s="8">
        <f t="shared" si="534"/>
        <v>-8.0614805520702659E-2</v>
      </c>
      <c r="O496" s="12">
        <v>4120</v>
      </c>
      <c r="Q496" s="3"/>
      <c r="R496" s="3"/>
      <c r="S496" s="6"/>
      <c r="T496" s="7"/>
      <c r="U496" s="7"/>
      <c r="V496" s="7"/>
      <c r="W496" s="7"/>
      <c r="X496" s="7"/>
      <c r="Y496" s="7"/>
      <c r="Z496" s="7"/>
      <c r="AA496" s="7"/>
      <c r="AB496" s="7"/>
      <c r="AC496" s="7"/>
      <c r="AD496" s="7"/>
      <c r="AE496" s="8"/>
      <c r="AF496" s="8"/>
      <c r="AG496" s="12"/>
    </row>
    <row r="497" spans="1:33" ht="19.7" customHeight="1" x14ac:dyDescent="0.25">
      <c r="A497" s="6">
        <v>43316</v>
      </c>
      <c r="B497" s="7">
        <f t="shared" ref="B497" si="535">IF(SUM(C497:J497)="","",SUM(C497:J497))</f>
        <v>32059</v>
      </c>
      <c r="C497" s="7">
        <v>31764</v>
      </c>
      <c r="D497" s="7">
        <v>230</v>
      </c>
      <c r="E497" s="7">
        <v>65</v>
      </c>
      <c r="F497" s="7">
        <v>0</v>
      </c>
      <c r="G497" s="7">
        <v>0</v>
      </c>
      <c r="H497" s="7">
        <v>0</v>
      </c>
      <c r="I497" s="7">
        <v>0</v>
      </c>
      <c r="J497" s="7">
        <v>0</v>
      </c>
      <c r="K497" s="7">
        <f t="shared" ref="K497:L497" si="536">IF(B497=0,"",B497-B445)</f>
        <v>-2821</v>
      </c>
      <c r="L497" s="7">
        <f t="shared" si="536"/>
        <v>-2889</v>
      </c>
      <c r="M497" s="8">
        <f t="shared" ref="M497:N497" si="537">IF(K497="","",B497/B445-1)</f>
        <v>-8.0877293577981679E-2</v>
      </c>
      <c r="N497" s="8">
        <f t="shared" si="537"/>
        <v>-8.3369405246298989E-2</v>
      </c>
      <c r="O497" s="12">
        <v>3795</v>
      </c>
      <c r="Q497" s="3"/>
      <c r="R497" s="3"/>
      <c r="S497" s="6"/>
      <c r="T497" s="7"/>
      <c r="U497" s="7"/>
      <c r="V497" s="7"/>
      <c r="W497" s="7"/>
      <c r="X497" s="7"/>
      <c r="Y497" s="7"/>
      <c r="Z497" s="7"/>
      <c r="AA497" s="7"/>
      <c r="AB497" s="7"/>
      <c r="AC497" s="7"/>
      <c r="AD497" s="7"/>
      <c r="AE497" s="8"/>
      <c r="AF497" s="8"/>
      <c r="AG497" s="12"/>
    </row>
    <row r="498" spans="1:33" ht="19.7" customHeight="1" x14ac:dyDescent="0.25">
      <c r="A498" s="6">
        <v>43323</v>
      </c>
      <c r="B498" s="7">
        <f t="shared" ref="B498" si="538">IF(SUM(C498:J498)="","",SUM(C498:J498))</f>
        <v>31595</v>
      </c>
      <c r="C498" s="7">
        <v>31366</v>
      </c>
      <c r="D498" s="7">
        <v>162</v>
      </c>
      <c r="E498" s="7">
        <v>67</v>
      </c>
      <c r="F498" s="7">
        <v>0</v>
      </c>
      <c r="G498" s="7">
        <v>0</v>
      </c>
      <c r="H498" s="7">
        <v>0</v>
      </c>
      <c r="I498" s="7">
        <v>0</v>
      </c>
      <c r="J498" s="7">
        <v>0</v>
      </c>
      <c r="K498" s="7">
        <f t="shared" ref="K498:L498" si="539">IF(B498=0,"",B498-B446)</f>
        <v>-2941</v>
      </c>
      <c r="L498" s="7">
        <f t="shared" si="539"/>
        <v>-2963</v>
      </c>
      <c r="M498" s="8">
        <f t="shared" ref="M498:N498" si="540">IF(K498="","",B498/B446-1)</f>
        <v>-8.515751679406991E-2</v>
      </c>
      <c r="N498" s="8">
        <f t="shared" si="540"/>
        <v>-8.6311864604270427E-2</v>
      </c>
      <c r="O498" s="12">
        <v>3828</v>
      </c>
      <c r="Q498" s="3"/>
      <c r="R498" s="3"/>
      <c r="S498" s="6"/>
      <c r="T498" s="7"/>
      <c r="U498" s="7"/>
      <c r="V498" s="7"/>
      <c r="W498" s="7"/>
      <c r="X498" s="7"/>
      <c r="Y498" s="7"/>
      <c r="Z498" s="7"/>
      <c r="AA498" s="7"/>
      <c r="AB498" s="7"/>
      <c r="AC498" s="7"/>
      <c r="AD498" s="7"/>
      <c r="AE498" s="8"/>
      <c r="AF498" s="8"/>
      <c r="AG498" s="12"/>
    </row>
    <row r="499" spans="1:33" ht="19.7" customHeight="1" x14ac:dyDescent="0.25">
      <c r="A499" s="6">
        <v>43330</v>
      </c>
      <c r="B499" s="7">
        <f t="shared" ref="B499" si="541">IF(SUM(C499:J499)="","",SUM(C499:J499))</f>
        <v>30657</v>
      </c>
      <c r="C499" s="7">
        <v>30477</v>
      </c>
      <c r="D499" s="7">
        <v>101</v>
      </c>
      <c r="E499" s="7">
        <v>79</v>
      </c>
      <c r="F499" s="7">
        <v>0</v>
      </c>
      <c r="G499" s="7">
        <v>0</v>
      </c>
      <c r="H499" s="7">
        <v>0</v>
      </c>
      <c r="I499" s="7">
        <v>0</v>
      </c>
      <c r="J499" s="7">
        <v>0</v>
      </c>
      <c r="K499" s="7">
        <f t="shared" ref="K499:L499" si="542">IF(B499=0,"",B499-B447)</f>
        <v>-2986</v>
      </c>
      <c r="L499" s="7">
        <f t="shared" si="542"/>
        <v>-2974</v>
      </c>
      <c r="M499" s="8">
        <f t="shared" ref="M499:N499" si="543">IF(K499="","",B499/B447-1)</f>
        <v>-8.875546176024729E-2</v>
      </c>
      <c r="N499" s="8">
        <f t="shared" si="543"/>
        <v>-8.8906161250784765E-2</v>
      </c>
      <c r="O499" s="12">
        <v>3676</v>
      </c>
      <c r="Q499" s="3"/>
      <c r="R499" s="3"/>
      <c r="S499" s="6"/>
      <c r="T499" s="7"/>
      <c r="U499" s="7"/>
      <c r="V499" s="7"/>
      <c r="W499" s="7"/>
      <c r="X499" s="7"/>
      <c r="Y499" s="7"/>
      <c r="Z499" s="7"/>
      <c r="AA499" s="7"/>
      <c r="AB499" s="7"/>
      <c r="AC499" s="7"/>
      <c r="AD499" s="7"/>
      <c r="AE499" s="8"/>
      <c r="AF499" s="8"/>
      <c r="AG499" s="12"/>
    </row>
    <row r="500" spans="1:33" ht="19.7" customHeight="1" x14ac:dyDescent="0.25">
      <c r="A500" s="6">
        <v>43337</v>
      </c>
      <c r="B500" s="7">
        <f t="shared" ref="B500" si="544">IF(SUM(C500:J500)="","",SUM(C500:J500))</f>
        <v>30354</v>
      </c>
      <c r="C500" s="7">
        <v>30176</v>
      </c>
      <c r="D500" s="7">
        <v>107</v>
      </c>
      <c r="E500" s="7">
        <v>71</v>
      </c>
      <c r="F500" s="7">
        <v>0</v>
      </c>
      <c r="G500" s="7">
        <v>0</v>
      </c>
      <c r="H500" s="7">
        <v>0</v>
      </c>
      <c r="I500" s="7">
        <v>0</v>
      </c>
      <c r="J500" s="7">
        <v>0</v>
      </c>
      <c r="K500" s="7">
        <f t="shared" ref="K500:L500" si="545">IF(B500=0,"",B500-B448)</f>
        <v>-2897</v>
      </c>
      <c r="L500" s="7">
        <f t="shared" si="545"/>
        <v>-2880</v>
      </c>
      <c r="M500" s="8">
        <f t="shared" ref="M500:N500" si="546">IF(K500="","",B500/B448-1)</f>
        <v>-8.7125199242128026E-2</v>
      </c>
      <c r="N500" s="8">
        <f t="shared" si="546"/>
        <v>-8.7124878993223631E-2</v>
      </c>
      <c r="O500" s="12">
        <v>3465</v>
      </c>
      <c r="Q500" s="3"/>
      <c r="R500" s="3"/>
      <c r="S500" s="6"/>
      <c r="T500" s="7"/>
      <c r="U500" s="7"/>
      <c r="V500" s="7"/>
      <c r="W500" s="7"/>
      <c r="X500" s="7"/>
      <c r="Y500" s="7"/>
      <c r="Z500" s="7"/>
      <c r="AA500" s="7"/>
      <c r="AB500" s="7"/>
      <c r="AC500" s="7"/>
      <c r="AD500" s="7"/>
      <c r="AE500" s="8"/>
      <c r="AF500" s="8"/>
      <c r="AG500" s="12"/>
    </row>
    <row r="501" spans="1:33" ht="19.7" customHeight="1" x14ac:dyDescent="0.25">
      <c r="A501" s="6">
        <v>43344</v>
      </c>
      <c r="B501" s="7">
        <f t="shared" ref="B501" si="547">IF(SUM(C501:J501)="","",SUM(C501:J501))</f>
        <v>28993</v>
      </c>
      <c r="C501" s="7">
        <f>28817+29</f>
        <v>28846</v>
      </c>
      <c r="D501" s="7">
        <v>80</v>
      </c>
      <c r="E501" s="7">
        <v>67</v>
      </c>
      <c r="F501" s="7">
        <v>0</v>
      </c>
      <c r="G501" s="7">
        <v>0</v>
      </c>
      <c r="H501" s="7">
        <v>0</v>
      </c>
      <c r="I501" s="7">
        <v>0</v>
      </c>
      <c r="J501" s="7">
        <v>0</v>
      </c>
      <c r="K501" s="7">
        <f t="shared" ref="K501:L501" si="548">IF(B501=0,"",B501-B449)</f>
        <v>-2928</v>
      </c>
      <c r="L501" s="7">
        <f t="shared" si="548"/>
        <v>-2884</v>
      </c>
      <c r="M501" s="8">
        <f t="shared" ref="M501:N501" si="549">IF(K501="","",B501/B449-1)</f>
        <v>-9.1726449672629329E-2</v>
      </c>
      <c r="N501" s="8">
        <f t="shared" si="549"/>
        <v>-9.0891900409706849E-2</v>
      </c>
      <c r="O501" s="12">
        <f>3529+3</f>
        <v>3532</v>
      </c>
      <c r="Q501" s="3"/>
      <c r="R501" s="3"/>
      <c r="S501" s="6"/>
      <c r="T501" s="7"/>
      <c r="U501" s="7"/>
      <c r="V501" s="7"/>
      <c r="W501" s="7"/>
      <c r="X501" s="7"/>
      <c r="Y501" s="7"/>
      <c r="Z501" s="7"/>
      <c r="AA501" s="7"/>
      <c r="AB501" s="7"/>
      <c r="AC501" s="7"/>
      <c r="AD501" s="7"/>
      <c r="AE501" s="8"/>
      <c r="AF501" s="8"/>
      <c r="AG501" s="12"/>
    </row>
    <row r="502" spans="1:33" ht="19.7" customHeight="1" x14ac:dyDescent="0.25">
      <c r="A502" s="6">
        <v>43351</v>
      </c>
      <c r="B502" s="7">
        <f t="shared" ref="B502" si="550">IF(SUM(C502:J502)="","",SUM(C502:J502))</f>
        <v>27867</v>
      </c>
      <c r="C502" s="7">
        <f>27703+8</f>
        <v>27711</v>
      </c>
      <c r="D502" s="7">
        <v>93</v>
      </c>
      <c r="E502" s="7">
        <v>63</v>
      </c>
      <c r="F502" s="7">
        <v>0</v>
      </c>
      <c r="G502" s="7">
        <v>0</v>
      </c>
      <c r="H502" s="7">
        <v>0</v>
      </c>
      <c r="I502" s="7">
        <v>0</v>
      </c>
      <c r="J502" s="7">
        <v>0</v>
      </c>
      <c r="K502" s="7">
        <f t="shared" ref="K502:L502" si="551">IF(B502=0,"",B502-B450)</f>
        <v>-2694</v>
      </c>
      <c r="L502" s="7">
        <f t="shared" si="551"/>
        <v>-2665</v>
      </c>
      <c r="M502" s="8">
        <f t="shared" ref="M502:N502" si="552">IF(K502="","",B502/B450-1)</f>
        <v>-8.8151565721017011E-2</v>
      </c>
      <c r="N502" s="8">
        <f t="shared" si="552"/>
        <v>-8.7733737160916481E-2</v>
      </c>
      <c r="O502" s="12">
        <f>3109+7</f>
        <v>3116</v>
      </c>
      <c r="Q502" s="3"/>
      <c r="R502" s="3"/>
      <c r="S502" s="6"/>
      <c r="T502" s="7"/>
      <c r="U502" s="7"/>
      <c r="V502" s="7"/>
      <c r="W502" s="7"/>
      <c r="X502" s="7"/>
      <c r="Y502" s="7"/>
      <c r="Z502" s="7"/>
      <c r="AA502" s="7"/>
      <c r="AB502" s="7"/>
      <c r="AC502" s="7"/>
      <c r="AD502" s="7"/>
      <c r="AE502" s="8"/>
      <c r="AF502" s="8"/>
      <c r="AG502" s="12"/>
    </row>
    <row r="503" spans="1:33" ht="19.7" customHeight="1" x14ac:dyDescent="0.25">
      <c r="A503" s="6">
        <v>43358</v>
      </c>
      <c r="B503" s="7">
        <f t="shared" ref="B503" si="553">IF(SUM(C503:J503)="","",SUM(C503:J503))</f>
        <v>26776</v>
      </c>
      <c r="C503" s="7">
        <f>26603+21</f>
        <v>26624</v>
      </c>
      <c r="D503" s="7">
        <v>83</v>
      </c>
      <c r="E503" s="7">
        <v>69</v>
      </c>
      <c r="F503" s="7">
        <v>0</v>
      </c>
      <c r="G503" s="7">
        <v>0</v>
      </c>
      <c r="H503" s="7">
        <v>0</v>
      </c>
      <c r="I503" s="7">
        <v>0</v>
      </c>
      <c r="J503" s="7">
        <v>0</v>
      </c>
      <c r="K503" s="7">
        <f t="shared" ref="K503:L503" si="554">IF(B503=0,"",B503-B451)</f>
        <v>-2942</v>
      </c>
      <c r="L503" s="7">
        <f t="shared" si="554"/>
        <v>-2910</v>
      </c>
      <c r="M503" s="8">
        <f t="shared" ref="M503:N503" si="555">IF(K503="","",B503/B451-1)</f>
        <v>-9.8997240729524205E-2</v>
      </c>
      <c r="N503" s="8">
        <f t="shared" si="555"/>
        <v>-9.853050721202683E-2</v>
      </c>
      <c r="O503" s="12">
        <f>3352+7</f>
        <v>3359</v>
      </c>
      <c r="Q503" s="3"/>
      <c r="R503" s="3"/>
      <c r="S503" s="6"/>
      <c r="T503" s="7"/>
      <c r="U503" s="7"/>
      <c r="V503" s="7"/>
      <c r="W503" s="7"/>
      <c r="X503" s="7"/>
      <c r="Y503" s="7"/>
      <c r="Z503" s="7"/>
      <c r="AA503" s="7"/>
      <c r="AB503" s="7"/>
      <c r="AC503" s="7"/>
      <c r="AD503" s="7"/>
      <c r="AE503" s="8"/>
      <c r="AF503" s="8"/>
      <c r="AG503" s="12"/>
    </row>
    <row r="504" spans="1:33" ht="19.7" customHeight="1" x14ac:dyDescent="0.25">
      <c r="A504" s="6">
        <v>43365</v>
      </c>
      <c r="B504" s="7">
        <f t="shared" ref="B504:B505" si="556">IF(SUM(C504:J504)="","",SUM(C504:J504))</f>
        <v>26183</v>
      </c>
      <c r="C504" s="7">
        <f>26019+16</f>
        <v>26035</v>
      </c>
      <c r="D504" s="7">
        <v>89</v>
      </c>
      <c r="E504" s="7">
        <v>59</v>
      </c>
      <c r="F504" s="7">
        <v>0</v>
      </c>
      <c r="G504" s="7">
        <v>0</v>
      </c>
      <c r="H504" s="7">
        <v>0</v>
      </c>
      <c r="I504" s="7">
        <v>0</v>
      </c>
      <c r="J504" s="7">
        <v>0</v>
      </c>
      <c r="K504" s="7">
        <f t="shared" ref="K504:L504" si="557">IF(B504=0,"",B504-B452)</f>
        <v>-2694</v>
      </c>
      <c r="L504" s="7">
        <f t="shared" si="557"/>
        <v>-2653</v>
      </c>
      <c r="M504" s="8">
        <f t="shared" ref="M504:N504" si="558">IF(K504="","",B504/B452-1)</f>
        <v>-9.3292239498562912E-2</v>
      </c>
      <c r="N504" s="8">
        <f t="shared" si="558"/>
        <v>-9.2477691020635855E-2</v>
      </c>
      <c r="O504" s="12">
        <f>3272+3</f>
        <v>3275</v>
      </c>
      <c r="Q504" s="3"/>
      <c r="R504" s="3"/>
      <c r="S504" s="6"/>
      <c r="T504" s="7"/>
      <c r="U504" s="7"/>
      <c r="V504" s="7"/>
      <c r="W504" s="7"/>
      <c r="X504" s="7"/>
      <c r="Y504" s="7"/>
      <c r="Z504" s="7"/>
      <c r="AA504" s="7"/>
      <c r="AB504" s="7"/>
      <c r="AC504" s="7"/>
      <c r="AD504" s="7"/>
      <c r="AE504" s="8"/>
      <c r="AF504" s="8"/>
      <c r="AG504" s="12"/>
    </row>
    <row r="505" spans="1:33" ht="19.7" customHeight="1" x14ac:dyDescent="0.25">
      <c r="A505" s="6">
        <v>43372</v>
      </c>
      <c r="B505" s="7">
        <f t="shared" si="556"/>
        <v>25351</v>
      </c>
      <c r="C505" s="7">
        <f>25200+12</f>
        <v>25212</v>
      </c>
      <c r="D505" s="7">
        <v>84</v>
      </c>
      <c r="E505" s="7">
        <v>55</v>
      </c>
      <c r="F505" s="7">
        <v>0</v>
      </c>
      <c r="G505" s="7">
        <v>0</v>
      </c>
      <c r="H505" s="7">
        <v>0</v>
      </c>
      <c r="I505" s="7">
        <v>0</v>
      </c>
      <c r="J505" s="7">
        <v>0</v>
      </c>
      <c r="K505" s="7">
        <f t="shared" ref="K505:L505" si="559">IF(B505=0,"",B505-B453)</f>
        <v>-2536</v>
      </c>
      <c r="L505" s="7">
        <f t="shared" si="559"/>
        <v>-2495</v>
      </c>
      <c r="M505" s="8">
        <f t="shared" ref="M505:N505" si="560">IF(K505="","",B505/B453-1)</f>
        <v>-9.0938430092874833E-2</v>
      </c>
      <c r="N505" s="8">
        <f t="shared" si="560"/>
        <v>-9.0049445988378385E-2</v>
      </c>
      <c r="O505" s="12">
        <f>3252+39</f>
        <v>3291</v>
      </c>
      <c r="Q505" s="3"/>
      <c r="R505" s="3"/>
      <c r="S505" s="6"/>
      <c r="T505" s="7"/>
      <c r="U505" s="7"/>
      <c r="V505" s="7"/>
      <c r="W505" s="7"/>
      <c r="X505" s="7"/>
      <c r="Y505" s="7"/>
      <c r="Z505" s="7"/>
      <c r="AA505" s="7"/>
      <c r="AB505" s="7"/>
      <c r="AC505" s="7"/>
      <c r="AD505" s="7"/>
      <c r="AE505" s="8"/>
      <c r="AF505" s="8"/>
      <c r="AG505" s="12"/>
    </row>
    <row r="506" spans="1:33" ht="19.7" customHeight="1" x14ac:dyDescent="0.25">
      <c r="A506" s="6">
        <v>43379</v>
      </c>
      <c r="B506" s="7">
        <f t="shared" ref="B506" si="561">IF(SUM(C506:J506)="","",SUM(C506:J506))</f>
        <v>24605</v>
      </c>
      <c r="C506" s="7">
        <f>24425+34</f>
        <v>24459</v>
      </c>
      <c r="D506" s="7">
        <v>89</v>
      </c>
      <c r="E506" s="7">
        <v>57</v>
      </c>
      <c r="F506" s="7">
        <v>0</v>
      </c>
      <c r="G506" s="7">
        <v>0</v>
      </c>
      <c r="H506" s="7">
        <v>0</v>
      </c>
      <c r="I506" s="7">
        <v>0</v>
      </c>
      <c r="J506" s="7">
        <v>0</v>
      </c>
      <c r="K506" s="7">
        <f t="shared" ref="K506:L506" si="562">IF(B506=0,"",B506-B454)</f>
        <v>-2794</v>
      </c>
      <c r="L506" s="7">
        <f t="shared" si="562"/>
        <v>-2770</v>
      </c>
      <c r="M506" s="8">
        <f t="shared" ref="M506:N506" si="563">IF(K506="","",B506/B454-1)</f>
        <v>-0.10197452461768675</v>
      </c>
      <c r="N506" s="8">
        <f t="shared" si="563"/>
        <v>-0.10172977340335676</v>
      </c>
      <c r="O506" s="12">
        <f>3782+2</f>
        <v>3784</v>
      </c>
      <c r="Q506" s="3"/>
      <c r="R506" s="3"/>
      <c r="S506" s="6"/>
      <c r="T506" s="7"/>
      <c r="U506" s="7"/>
      <c r="V506" s="7"/>
      <c r="W506" s="7"/>
      <c r="X506" s="7"/>
      <c r="Y506" s="7"/>
      <c r="Z506" s="7"/>
      <c r="AA506" s="7"/>
      <c r="AB506" s="7"/>
      <c r="AC506" s="7"/>
      <c r="AD506" s="7"/>
      <c r="AE506" s="8"/>
      <c r="AF506" s="8"/>
      <c r="AG506" s="12"/>
    </row>
    <row r="507" spans="1:33" ht="19.7" customHeight="1" x14ac:dyDescent="0.25">
      <c r="A507" s="6">
        <v>43386</v>
      </c>
      <c r="B507" s="7">
        <f t="shared" ref="B507" si="564">IF(SUM(C507:J507)="","",SUM(C507:J507))</f>
        <v>23908</v>
      </c>
      <c r="C507" s="7">
        <f>23756+11</f>
        <v>23767</v>
      </c>
      <c r="D507" s="7">
        <v>88</v>
      </c>
      <c r="E507" s="7">
        <v>53</v>
      </c>
      <c r="F507" s="7">
        <v>0</v>
      </c>
      <c r="G507" s="7">
        <v>0</v>
      </c>
      <c r="H507" s="7">
        <v>0</v>
      </c>
      <c r="I507" s="7">
        <v>0</v>
      </c>
      <c r="J507" s="7">
        <v>0</v>
      </c>
      <c r="K507" s="7">
        <f t="shared" ref="K507:L507" si="565">IF(B507=0,"",B507-B455)</f>
        <v>-2652</v>
      </c>
      <c r="L507" s="7">
        <f t="shared" si="565"/>
        <v>-2607</v>
      </c>
      <c r="M507" s="8">
        <f t="shared" ref="M507:N507" si="566">IF(K507="","",B507/B455-1)</f>
        <v>-9.9849397590361488E-2</v>
      </c>
      <c r="N507" s="8">
        <f t="shared" si="566"/>
        <v>-9.8847349662546491E-2</v>
      </c>
      <c r="O507" s="12">
        <f>3652+1</f>
        <v>3653</v>
      </c>
      <c r="Q507" s="3"/>
      <c r="R507" s="3"/>
      <c r="S507" s="6"/>
      <c r="T507" s="7"/>
      <c r="U507" s="7"/>
      <c r="V507" s="7"/>
      <c r="W507" s="7"/>
      <c r="X507" s="7"/>
      <c r="Y507" s="7"/>
      <c r="Z507" s="7"/>
      <c r="AA507" s="7"/>
      <c r="AB507" s="7"/>
      <c r="AC507" s="7"/>
      <c r="AD507" s="7"/>
      <c r="AE507" s="8"/>
      <c r="AF507" s="8"/>
      <c r="AG507" s="12"/>
    </row>
    <row r="508" spans="1:33" ht="19.7" customHeight="1" x14ac:dyDescent="0.25">
      <c r="A508" s="6">
        <v>43393</v>
      </c>
      <c r="B508" s="7">
        <f t="shared" ref="B508" si="567">IF(SUM(C508:J508)="","",SUM(C508:J508))</f>
        <v>23785</v>
      </c>
      <c r="C508" s="7">
        <f>23580+36</f>
        <v>23616</v>
      </c>
      <c r="D508" s="7">
        <v>115</v>
      </c>
      <c r="E508" s="7">
        <v>54</v>
      </c>
      <c r="F508" s="7">
        <v>0</v>
      </c>
      <c r="G508" s="7">
        <v>0</v>
      </c>
      <c r="H508" s="7">
        <v>0</v>
      </c>
      <c r="I508" s="7">
        <v>0</v>
      </c>
      <c r="J508" s="7">
        <v>0</v>
      </c>
      <c r="K508" s="7">
        <f t="shared" ref="K508:L508" si="568">IF(B508=0,"",B508-B456)</f>
        <v>-2623</v>
      </c>
      <c r="L508" s="7">
        <f t="shared" si="568"/>
        <v>-2590</v>
      </c>
      <c r="M508" s="8">
        <f t="shared" ref="M508:N508" si="569">IF(K508="","",B508/B456-1)</f>
        <v>-9.932596182974851E-2</v>
      </c>
      <c r="N508" s="8">
        <f t="shared" si="569"/>
        <v>-9.8832328474395159E-2</v>
      </c>
      <c r="O508" s="12">
        <f>3580+4</f>
        <v>3584</v>
      </c>
      <c r="Q508" s="3"/>
      <c r="R508" s="3"/>
      <c r="S508" s="6"/>
      <c r="T508" s="7"/>
      <c r="U508" s="7"/>
      <c r="V508" s="7"/>
      <c r="W508" s="7"/>
      <c r="X508" s="7"/>
      <c r="Y508" s="7"/>
      <c r="Z508" s="7"/>
      <c r="AA508" s="7"/>
      <c r="AB508" s="7"/>
      <c r="AC508" s="7"/>
      <c r="AD508" s="7"/>
      <c r="AE508" s="8"/>
      <c r="AF508" s="8"/>
      <c r="AG508" s="12"/>
    </row>
    <row r="509" spans="1:33" ht="19.7" customHeight="1" x14ac:dyDescent="0.25">
      <c r="A509" s="6">
        <v>43400</v>
      </c>
      <c r="B509" s="7">
        <f t="shared" ref="B509" si="570">IF(SUM(C509:J509)="","",SUM(C509:J509))</f>
        <v>22861</v>
      </c>
      <c r="C509" s="7">
        <f>22670+9</f>
        <v>22679</v>
      </c>
      <c r="D509" s="7">
        <v>129</v>
      </c>
      <c r="E509" s="7">
        <v>53</v>
      </c>
      <c r="F509" s="7">
        <v>0</v>
      </c>
      <c r="G509" s="7">
        <v>0</v>
      </c>
      <c r="H509" s="7">
        <v>0</v>
      </c>
      <c r="I509" s="7">
        <v>0</v>
      </c>
      <c r="J509" s="7">
        <v>0</v>
      </c>
      <c r="K509" s="7">
        <f t="shared" ref="K509:L509" si="571">IF(B509=0,"",B509-B457)</f>
        <v>-2821</v>
      </c>
      <c r="L509" s="7">
        <f t="shared" si="571"/>
        <v>-2803</v>
      </c>
      <c r="M509" s="8">
        <f t="shared" ref="M509:N509" si="572">IF(K509="","",B509/B457-1)</f>
        <v>-0.10984347013472473</v>
      </c>
      <c r="N509" s="8">
        <f t="shared" si="572"/>
        <v>-0.10999921513225019</v>
      </c>
      <c r="O509" s="12">
        <f>3425+18</f>
        <v>3443</v>
      </c>
      <c r="Q509" s="3"/>
      <c r="R509" s="3"/>
      <c r="S509" s="6"/>
      <c r="T509" s="7"/>
      <c r="U509" s="7"/>
      <c r="V509" s="7"/>
      <c r="W509" s="7"/>
      <c r="X509" s="7"/>
      <c r="Y509" s="7"/>
      <c r="Z509" s="7"/>
      <c r="AA509" s="7"/>
      <c r="AB509" s="7"/>
      <c r="AC509" s="7"/>
      <c r="AD509" s="7"/>
      <c r="AE509" s="8"/>
      <c r="AF509" s="8"/>
      <c r="AG509" s="12"/>
    </row>
    <row r="510" spans="1:33" ht="19.7" customHeight="1" x14ac:dyDescent="0.25">
      <c r="A510" s="6">
        <v>43407</v>
      </c>
      <c r="B510" s="7">
        <f t="shared" ref="B510" si="573">IF(SUM(C510:J510)="","",SUM(C510:J510))</f>
        <v>22311</v>
      </c>
      <c r="C510" s="7">
        <f>22063+38</f>
        <v>22101</v>
      </c>
      <c r="D510" s="7">
        <v>154</v>
      </c>
      <c r="E510" s="7">
        <v>56</v>
      </c>
      <c r="F510" s="7">
        <v>0</v>
      </c>
      <c r="G510" s="7">
        <v>0</v>
      </c>
      <c r="H510" s="7">
        <v>0</v>
      </c>
      <c r="I510" s="7">
        <v>0</v>
      </c>
      <c r="J510" s="7">
        <v>0</v>
      </c>
      <c r="K510" s="7">
        <f t="shared" ref="K510:L510" si="574">IF(B510=0,"",B510-B458)</f>
        <v>-2664</v>
      </c>
      <c r="L510" s="7">
        <f t="shared" si="574"/>
        <v>-2655</v>
      </c>
      <c r="M510" s="8">
        <f t="shared" ref="M510:N510" si="575">IF(K510="","",B510/B458-1)</f>
        <v>-0.10666666666666669</v>
      </c>
      <c r="N510" s="8">
        <f t="shared" si="575"/>
        <v>-0.10724672806592339</v>
      </c>
      <c r="O510" s="12">
        <f>3421+10</f>
        <v>3431</v>
      </c>
      <c r="Q510" s="3"/>
      <c r="R510" s="3"/>
      <c r="S510" s="6"/>
      <c r="T510" s="7"/>
      <c r="U510" s="7"/>
      <c r="V510" s="7"/>
      <c r="W510" s="7"/>
      <c r="X510" s="7"/>
      <c r="Y510" s="7"/>
      <c r="Z510" s="7"/>
      <c r="AA510" s="7"/>
      <c r="AB510" s="7"/>
      <c r="AC510" s="7"/>
      <c r="AD510" s="7"/>
      <c r="AE510" s="8"/>
      <c r="AF510" s="8"/>
      <c r="AG510" s="12"/>
    </row>
    <row r="511" spans="1:33" ht="19.7" customHeight="1" x14ac:dyDescent="0.25">
      <c r="A511" s="6">
        <v>43414</v>
      </c>
      <c r="B511" s="7">
        <f t="shared" ref="B511" si="576">IF(SUM(C511:J511)="","",SUM(C511:J511))</f>
        <v>21914</v>
      </c>
      <c r="C511" s="7">
        <f>21701+14</f>
        <v>21715</v>
      </c>
      <c r="D511" s="7">
        <v>147</v>
      </c>
      <c r="E511" s="7">
        <v>52</v>
      </c>
      <c r="F511" s="7">
        <v>0</v>
      </c>
      <c r="G511" s="7">
        <v>0</v>
      </c>
      <c r="H511" s="7">
        <v>0</v>
      </c>
      <c r="I511" s="7">
        <v>0</v>
      </c>
      <c r="J511" s="7">
        <v>0</v>
      </c>
      <c r="K511" s="7">
        <f t="shared" ref="K511:L511" si="577">IF(B511=0,"",B511-B459)</f>
        <v>-1227</v>
      </c>
      <c r="L511" s="7">
        <f t="shared" si="577"/>
        <v>-1217</v>
      </c>
      <c r="M511" s="8">
        <f t="shared" ref="M511:N511" si="578">IF(K511="","",B511/B459-1)</f>
        <v>-5.3022773432435888E-2</v>
      </c>
      <c r="N511" s="8">
        <f t="shared" si="578"/>
        <v>-5.3069945927088802E-2</v>
      </c>
      <c r="O511" s="12">
        <f>3614+4</f>
        <v>3618</v>
      </c>
      <c r="Q511" s="3"/>
      <c r="R511" s="3"/>
      <c r="S511" s="6"/>
      <c r="T511" s="7"/>
      <c r="U511" s="7"/>
      <c r="V511" s="7"/>
      <c r="W511" s="7"/>
      <c r="X511" s="7"/>
      <c r="Y511" s="7"/>
      <c r="Z511" s="7"/>
      <c r="AA511" s="7"/>
      <c r="AB511" s="7"/>
      <c r="AC511" s="7"/>
      <c r="AD511" s="7"/>
      <c r="AE511" s="8"/>
      <c r="AF511" s="8"/>
      <c r="AG511" s="12"/>
    </row>
    <row r="512" spans="1:33" ht="19.7" customHeight="1" x14ac:dyDescent="0.25">
      <c r="A512" s="6">
        <v>43421</v>
      </c>
      <c r="B512" s="7">
        <f t="shared" ref="B512" si="579">IF(SUM(C512:J512)="","",SUM(C512:J512))</f>
        <v>21091</v>
      </c>
      <c r="C512" s="7">
        <f>20828+45</f>
        <v>20873</v>
      </c>
      <c r="D512" s="7">
        <v>165</v>
      </c>
      <c r="E512" s="7">
        <v>53</v>
      </c>
      <c r="F512" s="7">
        <v>0</v>
      </c>
      <c r="G512" s="7">
        <v>0</v>
      </c>
      <c r="H512" s="7">
        <v>0</v>
      </c>
      <c r="I512" s="7">
        <v>0</v>
      </c>
      <c r="J512" s="7">
        <v>0</v>
      </c>
      <c r="K512" s="7">
        <f t="shared" ref="K512:L512" si="580">IF(B512=0,"",B512-B460)</f>
        <v>-4205</v>
      </c>
      <c r="L512" s="7">
        <f t="shared" si="580"/>
        <v>-4154</v>
      </c>
      <c r="M512" s="8">
        <f t="shared" ref="M512:N512" si="581">IF(K512="","",B512/B460-1)</f>
        <v>-0.16623181530676789</v>
      </c>
      <c r="N512" s="8">
        <f t="shared" si="581"/>
        <v>-0.16598074079993608</v>
      </c>
      <c r="O512" s="12">
        <f>3218+6</f>
        <v>3224</v>
      </c>
      <c r="Q512" s="3"/>
      <c r="R512" s="3"/>
      <c r="S512" s="6"/>
      <c r="T512" s="7"/>
      <c r="U512" s="7"/>
      <c r="V512" s="7"/>
      <c r="W512" s="7"/>
      <c r="X512" s="7"/>
      <c r="Y512" s="7"/>
      <c r="Z512" s="7"/>
      <c r="AA512" s="7"/>
      <c r="AB512" s="7"/>
      <c r="AC512" s="7"/>
      <c r="AD512" s="7"/>
      <c r="AE512" s="8"/>
      <c r="AF512" s="8"/>
      <c r="AG512" s="12"/>
    </row>
    <row r="513" spans="1:33" ht="19.7" customHeight="1" x14ac:dyDescent="0.25">
      <c r="A513" s="6">
        <v>43428</v>
      </c>
      <c r="B513" s="7">
        <f t="shared" ref="B513:B514" si="582">IF(SUM(C513:J513)="","",SUM(C513:J513))</f>
        <v>19662</v>
      </c>
      <c r="C513" s="7">
        <f>19433+11</f>
        <v>19444</v>
      </c>
      <c r="D513" s="7">
        <v>163</v>
      </c>
      <c r="E513" s="7">
        <v>55</v>
      </c>
      <c r="F513" s="7">
        <v>0</v>
      </c>
      <c r="G513" s="7">
        <v>0</v>
      </c>
      <c r="H513" s="7">
        <v>0</v>
      </c>
      <c r="I513" s="7">
        <v>0</v>
      </c>
      <c r="J513" s="7">
        <v>0</v>
      </c>
      <c r="K513" s="7">
        <f t="shared" ref="K513:L513" si="583">IF(B513=0,"",B513-B461)</f>
        <v>-2505</v>
      </c>
      <c r="L513" s="7">
        <f t="shared" si="583"/>
        <v>-2463</v>
      </c>
      <c r="M513" s="8">
        <f t="shared" ref="M513:N513" si="584">IF(K513="","",B513/B461-1)</f>
        <v>-0.11300581946136146</v>
      </c>
      <c r="N513" s="8">
        <f t="shared" si="584"/>
        <v>-0.1124298169534852</v>
      </c>
      <c r="O513" s="12">
        <f>2345+1</f>
        <v>2346</v>
      </c>
      <c r="Q513" s="3"/>
      <c r="R513" s="3"/>
      <c r="S513" s="6"/>
      <c r="T513" s="7"/>
      <c r="U513" s="7"/>
      <c r="V513" s="7"/>
      <c r="W513" s="7"/>
      <c r="X513" s="7"/>
      <c r="Y513" s="7"/>
      <c r="Z513" s="7"/>
      <c r="AA513" s="7"/>
      <c r="AB513" s="7"/>
      <c r="AC513" s="7"/>
      <c r="AD513" s="7"/>
      <c r="AE513" s="8"/>
      <c r="AF513" s="8"/>
      <c r="AG513" s="12"/>
    </row>
    <row r="514" spans="1:33" ht="19.7" customHeight="1" x14ac:dyDescent="0.25">
      <c r="A514" s="6">
        <v>43435</v>
      </c>
      <c r="B514" s="7">
        <f t="shared" si="582"/>
        <v>20348</v>
      </c>
      <c r="C514" s="7">
        <f>20060+47</f>
        <v>20107</v>
      </c>
      <c r="D514" s="7">
        <v>192</v>
      </c>
      <c r="E514" s="7">
        <v>49</v>
      </c>
      <c r="F514" s="7">
        <v>0</v>
      </c>
      <c r="G514" s="7">
        <v>0</v>
      </c>
      <c r="H514" s="7">
        <v>0</v>
      </c>
      <c r="I514" s="7">
        <v>0</v>
      </c>
      <c r="J514" s="7">
        <v>0</v>
      </c>
      <c r="K514" s="7">
        <f t="shared" ref="K514:L514" si="585">IF(B514=0,"",B514-B462)</f>
        <v>-2980</v>
      </c>
      <c r="L514" s="7">
        <f t="shared" si="585"/>
        <v>-2919</v>
      </c>
      <c r="M514" s="8">
        <f t="shared" ref="M514:N514" si="586">IF(K514="","",B514/B462-1)</f>
        <v>-0.12774348422496573</v>
      </c>
      <c r="N514" s="8">
        <f t="shared" si="586"/>
        <v>-0.12676973855641449</v>
      </c>
      <c r="O514" s="12">
        <f>3584+1</f>
        <v>3585</v>
      </c>
      <c r="Q514" s="3"/>
      <c r="R514" s="3"/>
      <c r="S514" s="6"/>
      <c r="T514" s="7"/>
      <c r="U514" s="7"/>
      <c r="V514" s="7"/>
      <c r="W514" s="7"/>
      <c r="X514" s="7"/>
      <c r="Y514" s="7"/>
      <c r="Z514" s="7"/>
      <c r="AA514" s="7"/>
      <c r="AB514" s="7"/>
      <c r="AC514" s="7"/>
      <c r="AD514" s="7"/>
      <c r="AE514" s="8"/>
      <c r="AF514" s="8"/>
      <c r="AG514" s="12"/>
    </row>
    <row r="515" spans="1:33" ht="19.7" customHeight="1" x14ac:dyDescent="0.25">
      <c r="A515" s="6">
        <v>43442</v>
      </c>
      <c r="B515" s="7">
        <f t="shared" ref="B515" si="587">IF(SUM(C515:J515)="","",SUM(C515:J515))</f>
        <v>19395</v>
      </c>
      <c r="C515" s="7">
        <f>19134+9</f>
        <v>19143</v>
      </c>
      <c r="D515" s="7">
        <v>192</v>
      </c>
      <c r="E515" s="7">
        <v>60</v>
      </c>
      <c r="F515" s="7">
        <v>0</v>
      </c>
      <c r="G515" s="7">
        <v>0</v>
      </c>
      <c r="H515" s="7">
        <v>0</v>
      </c>
      <c r="I515" s="7">
        <v>0</v>
      </c>
      <c r="J515" s="7">
        <v>0</v>
      </c>
      <c r="K515" s="7">
        <f t="shared" ref="K515:L515" si="588">IF(B515=0,"",B515-B463)</f>
        <v>-2751</v>
      </c>
      <c r="L515" s="7">
        <f t="shared" si="588"/>
        <v>-2705</v>
      </c>
      <c r="M515" s="8">
        <f t="shared" ref="M515:N515" si="589">IF(K515="","",B515/B463-1)</f>
        <v>-0.1242210782985641</v>
      </c>
      <c r="N515" s="8">
        <f t="shared" si="589"/>
        <v>-0.1238099597217136</v>
      </c>
      <c r="O515" s="12">
        <f>3520+1</f>
        <v>3521</v>
      </c>
      <c r="Q515" s="3"/>
      <c r="R515" s="3"/>
      <c r="S515" s="6"/>
      <c r="T515" s="7"/>
      <c r="U515" s="7"/>
      <c r="V515" s="7"/>
      <c r="W515" s="7"/>
      <c r="X515" s="7"/>
      <c r="Y515" s="7"/>
      <c r="Z515" s="7"/>
      <c r="AA515" s="7"/>
      <c r="AB515" s="7"/>
      <c r="AC515" s="7"/>
      <c r="AD515" s="7"/>
      <c r="AE515" s="8"/>
      <c r="AF515" s="8"/>
      <c r="AG515" s="12"/>
    </row>
    <row r="516" spans="1:33" ht="19.7" customHeight="1" x14ac:dyDescent="0.25">
      <c r="A516" s="6">
        <v>43449</v>
      </c>
      <c r="B516" s="7">
        <f t="shared" ref="B516" si="590">IF(SUM(C516:J516)="","",SUM(C516:J516))</f>
        <v>19549</v>
      </c>
      <c r="C516" s="7">
        <f>19253+42</f>
        <v>19295</v>
      </c>
      <c r="D516" s="7">
        <v>202</v>
      </c>
      <c r="E516" s="7">
        <v>52</v>
      </c>
      <c r="F516" s="7">
        <v>0</v>
      </c>
      <c r="G516" s="7">
        <v>0</v>
      </c>
      <c r="H516" s="7">
        <v>0</v>
      </c>
      <c r="I516" s="7">
        <v>0</v>
      </c>
      <c r="J516" s="7">
        <v>0</v>
      </c>
      <c r="K516" s="7">
        <f t="shared" ref="K516:L516" si="591">IF(B516=0,"",B516-B464)</f>
        <v>-3276</v>
      </c>
      <c r="L516" s="7">
        <f t="shared" si="591"/>
        <v>-3202</v>
      </c>
      <c r="M516" s="8">
        <f t="shared" ref="M516:N516" si="592">IF(K516="","",B516/B464-1)</f>
        <v>-0.14352683461117199</v>
      </c>
      <c r="N516" s="8">
        <f t="shared" si="592"/>
        <v>-0.14233008845623862</v>
      </c>
      <c r="O516" s="12">
        <f>3377+3</f>
        <v>3380</v>
      </c>
      <c r="Q516" s="3"/>
      <c r="R516" s="3"/>
      <c r="S516" s="6"/>
      <c r="T516" s="7"/>
      <c r="U516" s="7"/>
      <c r="V516" s="7"/>
      <c r="W516" s="7"/>
      <c r="X516" s="7"/>
      <c r="Y516" s="7"/>
      <c r="Z516" s="7"/>
      <c r="AA516" s="7"/>
      <c r="AB516" s="7"/>
      <c r="AC516" s="7"/>
      <c r="AD516" s="7"/>
      <c r="AE516" s="8"/>
      <c r="AF516" s="8"/>
      <c r="AG516" s="12"/>
    </row>
    <row r="517" spans="1:33" ht="19.7" customHeight="1" x14ac:dyDescent="0.25">
      <c r="A517" s="6">
        <v>43456</v>
      </c>
      <c r="B517" s="7">
        <f t="shared" ref="B517" si="593">IF(SUM(C517:J517)="","",SUM(C517:J517))</f>
        <v>19386</v>
      </c>
      <c r="C517" s="7">
        <f>19100+18</f>
        <v>19118</v>
      </c>
      <c r="D517" s="7">
        <v>212</v>
      </c>
      <c r="E517" s="7">
        <v>56</v>
      </c>
      <c r="F517" s="7">
        <v>0</v>
      </c>
      <c r="G517" s="7">
        <v>0</v>
      </c>
      <c r="H517" s="7">
        <v>0</v>
      </c>
      <c r="I517" s="7">
        <v>0</v>
      </c>
      <c r="J517" s="7">
        <v>0</v>
      </c>
      <c r="K517" s="7">
        <f t="shared" ref="K517:L517" si="594">IF(B517=0,"",B517-B465)</f>
        <v>-2623</v>
      </c>
      <c r="L517" s="7">
        <f t="shared" si="594"/>
        <v>-2555</v>
      </c>
      <c r="M517" s="8">
        <f t="shared" ref="M517:N517" si="595">IF(K517="","",B517/B465-1)</f>
        <v>-0.11917851787904943</v>
      </c>
      <c r="N517" s="8">
        <f t="shared" si="595"/>
        <v>-0.11788861717344157</v>
      </c>
      <c r="O517" s="12">
        <f>3224+0</f>
        <v>3224</v>
      </c>
      <c r="Q517" s="3"/>
      <c r="R517" s="3"/>
      <c r="S517" s="6"/>
      <c r="T517" s="7"/>
      <c r="U517" s="7"/>
      <c r="V517" s="7"/>
      <c r="W517" s="7"/>
      <c r="X517" s="7"/>
      <c r="Y517" s="7"/>
      <c r="Z517" s="7"/>
      <c r="AA517" s="7"/>
      <c r="AB517" s="7"/>
      <c r="AC517" s="7"/>
      <c r="AD517" s="7"/>
      <c r="AE517" s="8"/>
      <c r="AF517" s="8"/>
      <c r="AG517" s="12"/>
    </row>
    <row r="518" spans="1:33" ht="19.7" customHeight="1" x14ac:dyDescent="0.25">
      <c r="A518" s="6">
        <v>43463</v>
      </c>
      <c r="B518" s="7">
        <f t="shared" ref="B518" si="596">IF(SUM(C518:J518)="","",SUM(C518:J518))</f>
        <v>19046</v>
      </c>
      <c r="C518" s="7">
        <f>18764+8</f>
        <v>18772</v>
      </c>
      <c r="D518" s="7">
        <v>229</v>
      </c>
      <c r="E518" s="7">
        <v>45</v>
      </c>
      <c r="F518" s="7">
        <v>0</v>
      </c>
      <c r="G518" s="7">
        <v>0</v>
      </c>
      <c r="H518" s="7">
        <v>0</v>
      </c>
      <c r="I518" s="7">
        <v>0</v>
      </c>
      <c r="J518" s="7">
        <v>0</v>
      </c>
      <c r="K518" s="7">
        <f t="shared" ref="K518:L518" si="597">IF(B518=0,"",B518-B466)</f>
        <v>-3013</v>
      </c>
      <c r="L518" s="7">
        <f t="shared" si="597"/>
        <v>-2934</v>
      </c>
      <c r="M518" s="8">
        <f t="shared" ref="M518:N518" si="598">IF(K518="","",B518/B466-1)</f>
        <v>-0.13658824062740826</v>
      </c>
      <c r="N518" s="8">
        <f t="shared" si="598"/>
        <v>-0.13516999907859573</v>
      </c>
      <c r="O518" s="12">
        <f>2254+0</f>
        <v>2254</v>
      </c>
      <c r="Q518" s="3"/>
      <c r="R518" s="3"/>
      <c r="S518" s="6"/>
      <c r="T518" s="7"/>
      <c r="U518" s="7"/>
      <c r="V518" s="7"/>
      <c r="W518" s="7"/>
      <c r="X518" s="7"/>
      <c r="Y518" s="7"/>
      <c r="Z518" s="7"/>
      <c r="AA518" s="7"/>
      <c r="AB518" s="7"/>
      <c r="AC518" s="7"/>
      <c r="AD518" s="7"/>
      <c r="AE518" s="8"/>
      <c r="AF518" s="8"/>
      <c r="AG518" s="12"/>
    </row>
    <row r="519" spans="1:33" ht="19.7" customHeight="1" x14ac:dyDescent="0.25">
      <c r="A519" s="6">
        <v>43470</v>
      </c>
      <c r="B519" s="7">
        <f t="shared" ref="B519" si="599">IF(SUM(C519:J519)="","",SUM(C519:J519))</f>
        <v>19555</v>
      </c>
      <c r="C519" s="7">
        <f>19226+13</f>
        <v>19239</v>
      </c>
      <c r="D519" s="7">
        <v>265</v>
      </c>
      <c r="E519" s="7">
        <v>51</v>
      </c>
      <c r="F519" s="7">
        <v>0</v>
      </c>
      <c r="G519" s="7">
        <v>0</v>
      </c>
      <c r="H519" s="7">
        <v>0</v>
      </c>
      <c r="I519" s="7">
        <v>0</v>
      </c>
      <c r="J519" s="7">
        <v>0</v>
      </c>
      <c r="K519" s="7">
        <f t="shared" ref="K519:L519" si="600">IF(B519=0,"",B519-B467)</f>
        <v>-2860</v>
      </c>
      <c r="L519" s="7">
        <f t="shared" si="600"/>
        <v>-2796</v>
      </c>
      <c r="M519" s="8">
        <f t="shared" ref="M519:N519" si="601">IF(K519="","",B519/B467-1)</f>
        <v>-0.12759312960071378</v>
      </c>
      <c r="N519" s="8">
        <f t="shared" si="601"/>
        <v>-0.12688904016337643</v>
      </c>
      <c r="O519" s="12">
        <f>3081+5</f>
        <v>3086</v>
      </c>
      <c r="Q519" s="3"/>
      <c r="R519" s="3"/>
      <c r="S519" s="6"/>
      <c r="T519" s="7"/>
      <c r="U519" s="7"/>
      <c r="V519" s="7"/>
      <c r="W519" s="7"/>
      <c r="X519" s="7"/>
      <c r="Y519" s="7"/>
      <c r="Z519" s="7"/>
      <c r="AA519" s="7"/>
      <c r="AB519" s="7"/>
      <c r="AC519" s="7"/>
      <c r="AD519" s="7"/>
      <c r="AE519" s="8"/>
      <c r="AF519" s="8"/>
      <c r="AG519" s="12"/>
    </row>
    <row r="520" spans="1:33" ht="19.7" customHeight="1" x14ac:dyDescent="0.25">
      <c r="A520" s="6">
        <v>43477</v>
      </c>
      <c r="B520" s="7">
        <f t="shared" ref="B520" si="602">IF(SUM(C520:J520)="","",SUM(C520:J520))</f>
        <v>19754</v>
      </c>
      <c r="C520" s="7">
        <f>19320+40</f>
        <v>19360</v>
      </c>
      <c r="D520" s="7">
        <v>339</v>
      </c>
      <c r="E520" s="7">
        <v>55</v>
      </c>
      <c r="F520" s="7">
        <v>0</v>
      </c>
      <c r="G520" s="7">
        <v>0</v>
      </c>
      <c r="H520" s="7">
        <v>0</v>
      </c>
      <c r="I520" s="7">
        <v>0</v>
      </c>
      <c r="J520" s="7">
        <v>0</v>
      </c>
      <c r="K520" s="7">
        <f t="shared" ref="K520:L520" si="603">IF(B520=0,"",B520-B468)</f>
        <v>-3116</v>
      </c>
      <c r="L520" s="7">
        <f t="shared" si="603"/>
        <v>-3143</v>
      </c>
      <c r="M520" s="8">
        <f t="shared" ref="M520:N520" si="604">IF(K520="","",B520/B468-1)</f>
        <v>-0.13624836029733278</v>
      </c>
      <c r="N520" s="8">
        <f t="shared" si="604"/>
        <v>-0.13967026618673062</v>
      </c>
      <c r="O520" s="12">
        <f>4710+1</f>
        <v>4711</v>
      </c>
      <c r="Q520" s="3"/>
      <c r="R520" s="3"/>
      <c r="S520" s="6"/>
      <c r="T520" s="7"/>
      <c r="U520" s="7"/>
      <c r="V520" s="7"/>
      <c r="W520" s="7"/>
      <c r="X520" s="7"/>
      <c r="Y520" s="7"/>
      <c r="Z520" s="7"/>
      <c r="AA520" s="7"/>
      <c r="AB520" s="7"/>
      <c r="AC520" s="7"/>
      <c r="AD520" s="7"/>
      <c r="AE520" s="8"/>
      <c r="AF520" s="8"/>
      <c r="AG520" s="12"/>
    </row>
    <row r="521" spans="1:33" ht="19.7" customHeight="1" x14ac:dyDescent="0.25">
      <c r="A521" s="6">
        <v>43484</v>
      </c>
      <c r="B521" s="7">
        <f t="shared" ref="B521" si="605">IF(SUM(C521:J521)="","",SUM(C521:J521))</f>
        <v>19828</v>
      </c>
      <c r="C521" s="7">
        <f>19273+23</f>
        <v>19296</v>
      </c>
      <c r="D521" s="7">
        <v>482</v>
      </c>
      <c r="E521" s="7">
        <v>50</v>
      </c>
      <c r="F521" s="7">
        <v>0</v>
      </c>
      <c r="G521" s="7">
        <v>0</v>
      </c>
      <c r="H521" s="7">
        <v>0</v>
      </c>
      <c r="I521" s="7">
        <v>0</v>
      </c>
      <c r="J521" s="7">
        <v>0</v>
      </c>
      <c r="K521" s="7">
        <f t="shared" ref="K521:L521" si="606">IF(B521=0,"",B521-B469)</f>
        <v>-2519</v>
      </c>
      <c r="L521" s="7">
        <f t="shared" si="606"/>
        <v>-2688</v>
      </c>
      <c r="M521" s="8">
        <f t="shared" ref="M521:N521" si="607">IF(K521="","",B521/B469-1)</f>
        <v>-0.11272206560164677</v>
      </c>
      <c r="N521" s="8">
        <f t="shared" si="607"/>
        <v>-0.12227074235807855</v>
      </c>
      <c r="O521" s="12">
        <f>4202+8</f>
        <v>4210</v>
      </c>
      <c r="Q521" s="3"/>
      <c r="R521" s="3"/>
      <c r="S521" s="6"/>
      <c r="T521" s="7"/>
      <c r="U521" s="7"/>
      <c r="V521" s="7"/>
      <c r="W521" s="7"/>
      <c r="X521" s="7"/>
      <c r="Y521" s="7"/>
      <c r="Z521" s="7"/>
      <c r="AA521" s="7"/>
      <c r="AB521" s="7"/>
      <c r="AC521" s="7"/>
      <c r="AD521" s="7"/>
      <c r="AE521" s="8"/>
      <c r="AF521" s="8"/>
      <c r="AG521" s="12"/>
    </row>
    <row r="522" spans="1:33" ht="19.7" customHeight="1" x14ac:dyDescent="0.25">
      <c r="A522" s="6">
        <v>43491</v>
      </c>
      <c r="B522" s="7">
        <f t="shared" ref="B522" si="608">IF(SUM(C522:J522)="","",SUM(C522:J522))</f>
        <v>20194</v>
      </c>
      <c r="C522" s="7">
        <f>19547+33</f>
        <v>19580</v>
      </c>
      <c r="D522" s="7">
        <v>563</v>
      </c>
      <c r="E522" s="7">
        <v>51</v>
      </c>
      <c r="F522" s="7">
        <v>0</v>
      </c>
      <c r="G522" s="7">
        <v>0</v>
      </c>
      <c r="H522" s="7">
        <v>0</v>
      </c>
      <c r="I522" s="7">
        <v>0</v>
      </c>
      <c r="J522" s="7">
        <v>0</v>
      </c>
      <c r="K522" s="7">
        <f t="shared" ref="K522:L522" si="609">IF(B522=0,"",B522-B470)</f>
        <v>-2820</v>
      </c>
      <c r="L522" s="7">
        <f t="shared" si="609"/>
        <v>-3057</v>
      </c>
      <c r="M522" s="8">
        <f t="shared" ref="M522:N522" si="610">IF(K522="","",B522/B470-1)</f>
        <v>-0.12253410967237333</v>
      </c>
      <c r="N522" s="8">
        <f t="shared" si="610"/>
        <v>-0.1350443963422715</v>
      </c>
      <c r="O522" s="12">
        <f>3680+1</f>
        <v>3681</v>
      </c>
      <c r="Q522" s="3"/>
      <c r="R522" s="3"/>
      <c r="S522" s="6"/>
      <c r="T522" s="7"/>
      <c r="U522" s="7"/>
      <c r="V522" s="7"/>
      <c r="W522" s="7"/>
      <c r="X522" s="7"/>
      <c r="Y522" s="7"/>
      <c r="Z522" s="7"/>
      <c r="AA522" s="7"/>
      <c r="AB522" s="7"/>
      <c r="AC522" s="7"/>
      <c r="AD522" s="7"/>
      <c r="AE522" s="8"/>
      <c r="AF522" s="8"/>
      <c r="AG522" s="12"/>
    </row>
    <row r="523" spans="1:33" ht="19.7" customHeight="1" x14ac:dyDescent="0.25">
      <c r="A523" s="6">
        <v>43498</v>
      </c>
      <c r="B523" s="7">
        <f t="shared" ref="B523" si="611">IF(SUM(C523:J523)="","",SUM(C523:J523))</f>
        <v>20010</v>
      </c>
      <c r="C523" s="7">
        <f>19549+4</f>
        <v>19553</v>
      </c>
      <c r="D523" s="7">
        <v>404</v>
      </c>
      <c r="E523" s="7">
        <v>53</v>
      </c>
      <c r="F523" s="7">
        <v>0</v>
      </c>
      <c r="G523" s="7">
        <v>0</v>
      </c>
      <c r="H523" s="7">
        <v>0</v>
      </c>
      <c r="I523" s="7">
        <v>0</v>
      </c>
      <c r="J523" s="7">
        <v>0</v>
      </c>
      <c r="K523" s="7">
        <f t="shared" ref="K523:L523" si="612">IF(B523=0,"",B523-B471)</f>
        <v>-2675</v>
      </c>
      <c r="L523" s="7">
        <f t="shared" si="612"/>
        <v>-2775</v>
      </c>
      <c r="M523" s="8">
        <f t="shared" ref="M523:N523" si="613">IF(K523="","",B523/B471-1)</f>
        <v>-0.1179193299537139</v>
      </c>
      <c r="N523" s="8">
        <f t="shared" si="613"/>
        <v>-0.12428341096381224</v>
      </c>
      <c r="O523" s="12">
        <f>3531+5</f>
        <v>3536</v>
      </c>
      <c r="Q523" s="3"/>
      <c r="R523" s="3"/>
      <c r="S523" s="6"/>
      <c r="T523" s="7"/>
      <c r="U523" s="7"/>
      <c r="V523" s="7"/>
      <c r="W523" s="7"/>
      <c r="X523" s="7"/>
      <c r="Y523" s="7"/>
      <c r="Z523" s="7"/>
      <c r="AA523" s="7"/>
      <c r="AB523" s="7"/>
      <c r="AC523" s="7"/>
      <c r="AD523" s="7"/>
      <c r="AE523" s="8"/>
      <c r="AF523" s="8"/>
      <c r="AG523" s="12"/>
    </row>
    <row r="524" spans="1:33" ht="19.7" customHeight="1" x14ac:dyDescent="0.25">
      <c r="A524" s="6">
        <v>43505</v>
      </c>
      <c r="B524" s="7">
        <f t="shared" ref="B524" si="614">IF(SUM(C524:J524)="","",SUM(C524:J524))</f>
        <v>19921</v>
      </c>
      <c r="C524" s="7">
        <f>19566+29</f>
        <v>19595</v>
      </c>
      <c r="D524" s="7">
        <v>275</v>
      </c>
      <c r="E524" s="7">
        <v>51</v>
      </c>
      <c r="F524" s="7">
        <v>0</v>
      </c>
      <c r="G524" s="7">
        <v>0</v>
      </c>
      <c r="H524" s="7">
        <v>0</v>
      </c>
      <c r="I524" s="7">
        <v>0</v>
      </c>
      <c r="J524" s="7">
        <v>0</v>
      </c>
      <c r="K524" s="7">
        <f t="shared" ref="K524:L524" si="615">IF(B524=0,"",B524-B472)</f>
        <v>-2981</v>
      </c>
      <c r="L524" s="7">
        <f t="shared" si="615"/>
        <v>-2964</v>
      </c>
      <c r="M524" s="8">
        <f t="shared" ref="M524:N524" si="616">IF(K524="","",B524/B472-1)</f>
        <v>-0.13016330451488956</v>
      </c>
      <c r="N524" s="8">
        <f t="shared" si="616"/>
        <v>-0.13138880269515496</v>
      </c>
      <c r="O524" s="12">
        <f>3307+3</f>
        <v>3310</v>
      </c>
      <c r="Q524" s="3"/>
      <c r="R524" s="3"/>
      <c r="S524" s="6"/>
      <c r="T524" s="7"/>
      <c r="U524" s="7"/>
      <c r="V524" s="7"/>
      <c r="W524" s="7"/>
      <c r="X524" s="7"/>
      <c r="Y524" s="7"/>
      <c r="Z524" s="7"/>
      <c r="AA524" s="7"/>
      <c r="AB524" s="7"/>
      <c r="AC524" s="7"/>
      <c r="AD524" s="7"/>
      <c r="AE524" s="8"/>
      <c r="AF524" s="8"/>
      <c r="AG524" s="12"/>
    </row>
    <row r="525" spans="1:33" ht="19.7" customHeight="1" x14ac:dyDescent="0.25">
      <c r="A525" s="6">
        <v>43512</v>
      </c>
      <c r="B525" s="7">
        <f t="shared" ref="B525" si="617">IF(SUM(C525:J525)="","",SUM(C525:J525))</f>
        <v>19947</v>
      </c>
      <c r="C525" s="7">
        <f>19627+7</f>
        <v>19634</v>
      </c>
      <c r="D525" s="7">
        <v>254</v>
      </c>
      <c r="E525" s="7">
        <v>59</v>
      </c>
      <c r="F525" s="7">
        <v>0</v>
      </c>
      <c r="G525" s="7">
        <v>0</v>
      </c>
      <c r="H525" s="7">
        <v>0</v>
      </c>
      <c r="I525" s="7">
        <v>0</v>
      </c>
      <c r="J525" s="7">
        <v>0</v>
      </c>
      <c r="K525" s="7">
        <f t="shared" ref="K525:L525" si="618">IF(B525=0,"",B525-B473)</f>
        <v>-2968</v>
      </c>
      <c r="L525" s="7">
        <f t="shared" si="618"/>
        <v>-2938</v>
      </c>
      <c r="M525" s="8">
        <f t="shared" ref="M525:N525" si="619">IF(K525="","",B525/B473-1)</f>
        <v>-0.12952214706524112</v>
      </c>
      <c r="N525" s="8">
        <f t="shared" si="619"/>
        <v>-0.13016126174020914</v>
      </c>
      <c r="O525" s="12">
        <f>3222+2</f>
        <v>3224</v>
      </c>
      <c r="Q525" s="3"/>
      <c r="R525" s="3"/>
      <c r="S525" s="6"/>
      <c r="T525" s="7"/>
      <c r="U525" s="7"/>
      <c r="V525" s="7"/>
      <c r="W525" s="7"/>
      <c r="X525" s="7"/>
      <c r="Y525" s="7"/>
      <c r="Z525" s="7"/>
      <c r="AA525" s="7"/>
      <c r="AB525" s="7"/>
      <c r="AC525" s="7"/>
      <c r="AD525" s="7"/>
      <c r="AE525" s="8"/>
      <c r="AF525" s="8"/>
      <c r="AG525" s="12"/>
    </row>
    <row r="526" spans="1:33" ht="19.7" customHeight="1" x14ac:dyDescent="0.25">
      <c r="A526" s="6">
        <v>43519</v>
      </c>
      <c r="B526" s="7">
        <f t="shared" ref="B526" si="620">IF(SUM(C526:J526)="","",SUM(C526:J526))</f>
        <v>19651</v>
      </c>
      <c r="C526" s="7">
        <f>19340+23</f>
        <v>19363</v>
      </c>
      <c r="D526" s="7">
        <v>229</v>
      </c>
      <c r="E526" s="7">
        <v>59</v>
      </c>
      <c r="F526" s="7">
        <v>0</v>
      </c>
      <c r="G526" s="7">
        <v>0</v>
      </c>
      <c r="H526" s="7">
        <v>0</v>
      </c>
      <c r="I526" s="7">
        <v>0</v>
      </c>
      <c r="J526" s="7">
        <v>0</v>
      </c>
      <c r="K526" s="7">
        <f t="shared" ref="K526:L526" si="621">IF(B526=0,"",B526-B474)</f>
        <v>-3101</v>
      </c>
      <c r="L526" s="7">
        <f t="shared" si="621"/>
        <v>-3045</v>
      </c>
      <c r="M526" s="8">
        <f t="shared" ref="M526:N526" si="622">IF(K526="","",B526/B474-1)</f>
        <v>-0.13629571026722931</v>
      </c>
      <c r="N526" s="8">
        <f t="shared" si="622"/>
        <v>-0.13588896822563368</v>
      </c>
      <c r="O526" s="12">
        <f>2904+1</f>
        <v>2905</v>
      </c>
      <c r="Q526" s="3"/>
      <c r="R526" s="3"/>
      <c r="S526" s="6"/>
      <c r="T526" s="7"/>
      <c r="U526" s="7"/>
      <c r="V526" s="7"/>
      <c r="W526" s="7"/>
      <c r="X526" s="7"/>
      <c r="Y526" s="7"/>
      <c r="Z526" s="7"/>
      <c r="AA526" s="7"/>
      <c r="AB526" s="7"/>
      <c r="AC526" s="7"/>
      <c r="AD526" s="7"/>
      <c r="AE526" s="8"/>
      <c r="AF526" s="8"/>
      <c r="AG526" s="12"/>
    </row>
    <row r="527" spans="1:33" ht="19.7" customHeight="1" x14ac:dyDescent="0.25">
      <c r="A527" s="6">
        <v>43526</v>
      </c>
      <c r="B527" s="7">
        <f t="shared" ref="B527" si="623">IF(SUM(C527:J527)="","",SUM(C527:J527))</f>
        <v>19508</v>
      </c>
      <c r="C527" s="7">
        <f>19219+12</f>
        <v>19231</v>
      </c>
      <c r="D527" s="7">
        <v>227</v>
      </c>
      <c r="E527" s="7">
        <v>50</v>
      </c>
      <c r="F527" s="7">
        <v>0</v>
      </c>
      <c r="G527" s="7">
        <v>0</v>
      </c>
      <c r="H527" s="7">
        <v>0</v>
      </c>
      <c r="I527" s="7">
        <v>0</v>
      </c>
      <c r="J527" s="7">
        <v>0</v>
      </c>
      <c r="K527" s="7">
        <f t="shared" ref="K527:L527" si="624">IF(B527=0,"",B527-B475)</f>
        <v>-2700</v>
      </c>
      <c r="L527" s="7">
        <f t="shared" si="624"/>
        <v>-2637</v>
      </c>
      <c r="M527" s="8">
        <f t="shared" ref="M527:N527" si="625">IF(K527="","",B527/B475-1)</f>
        <v>-0.12157780979827093</v>
      </c>
      <c r="N527" s="8">
        <f t="shared" si="625"/>
        <v>-0.12058715931955366</v>
      </c>
      <c r="O527" s="12">
        <f>3276+0</f>
        <v>3276</v>
      </c>
      <c r="Q527" s="3"/>
      <c r="R527" s="3"/>
      <c r="S527" s="6"/>
      <c r="T527" s="7"/>
      <c r="U527" s="7"/>
      <c r="V527" s="7"/>
      <c r="W527" s="7"/>
      <c r="X527" s="7"/>
      <c r="Y527" s="7"/>
      <c r="Z527" s="7"/>
      <c r="AA527" s="7"/>
      <c r="AB527" s="7"/>
      <c r="AC527" s="7"/>
      <c r="AD527" s="7"/>
      <c r="AE527" s="8"/>
      <c r="AF527" s="8"/>
      <c r="AG527" s="12"/>
    </row>
    <row r="528" spans="1:33" ht="19.7" customHeight="1" x14ac:dyDescent="0.25">
      <c r="A528" s="6">
        <v>43533</v>
      </c>
      <c r="B528" s="7">
        <f t="shared" ref="B528" si="626">IF(SUM(C528:J528)="","",SUM(C528:J528))</f>
        <v>19311</v>
      </c>
      <c r="C528" s="7">
        <f>19037+20</f>
        <v>19057</v>
      </c>
      <c r="D528" s="7">
        <v>212</v>
      </c>
      <c r="E528" s="7">
        <v>42</v>
      </c>
      <c r="F528" s="7">
        <v>0</v>
      </c>
      <c r="G528" s="7">
        <v>0</v>
      </c>
      <c r="H528" s="7">
        <v>0</v>
      </c>
      <c r="I528" s="7">
        <v>0</v>
      </c>
      <c r="J528" s="7">
        <v>0</v>
      </c>
      <c r="K528" s="7">
        <f t="shared" ref="K528:L528" si="627">IF(B528=0,"",B528-B476)</f>
        <v>-3045</v>
      </c>
      <c r="L528" s="7">
        <f t="shared" si="627"/>
        <v>-2980</v>
      </c>
      <c r="M528" s="8">
        <f t="shared" ref="M528:N528" si="628">IF(K528="","",B528/B476-1)</f>
        <v>-0.13620504562533553</v>
      </c>
      <c r="N528" s="8">
        <f t="shared" si="628"/>
        <v>-0.13522711802876974</v>
      </c>
      <c r="O528" s="12">
        <f>3398+5</f>
        <v>3403</v>
      </c>
      <c r="Q528" s="3"/>
      <c r="R528" s="3"/>
      <c r="S528" s="6"/>
      <c r="T528" s="7"/>
      <c r="U528" s="7"/>
      <c r="V528" s="7"/>
      <c r="W528" s="7"/>
      <c r="X528" s="7"/>
      <c r="Y528" s="7"/>
      <c r="Z528" s="7"/>
      <c r="AA528" s="7"/>
      <c r="AB528" s="7"/>
      <c r="AC528" s="7"/>
      <c r="AD528" s="7"/>
      <c r="AE528" s="8"/>
      <c r="AF528" s="8"/>
      <c r="AG528" s="12"/>
    </row>
    <row r="529" spans="1:33" ht="19.7" customHeight="1" x14ac:dyDescent="0.25">
      <c r="A529" s="6">
        <v>43540</v>
      </c>
      <c r="B529" s="7">
        <f t="shared" ref="B529" si="629">IF(SUM(C529:J529)="","",SUM(C529:J529))</f>
        <v>19352</v>
      </c>
      <c r="C529" s="7">
        <f>19069+19</f>
        <v>19088</v>
      </c>
      <c r="D529" s="7">
        <v>212</v>
      </c>
      <c r="E529" s="7">
        <v>52</v>
      </c>
      <c r="F529" s="7">
        <v>0</v>
      </c>
      <c r="G529" s="7">
        <v>0</v>
      </c>
      <c r="H529" s="7">
        <v>0</v>
      </c>
      <c r="I529" s="7">
        <v>0</v>
      </c>
      <c r="J529" s="7">
        <v>0</v>
      </c>
      <c r="K529" s="7">
        <f t="shared" ref="K529:L529" si="630">IF(B529=0,"",B529-B477)</f>
        <v>-2460</v>
      </c>
      <c r="L529" s="7">
        <f t="shared" si="630"/>
        <v>-2409</v>
      </c>
      <c r="M529" s="8">
        <f t="shared" ref="M529:N529" si="631">IF(K529="","",B529/B477-1)</f>
        <v>-0.11278195488721809</v>
      </c>
      <c r="N529" s="8">
        <f t="shared" si="631"/>
        <v>-0.11206214820672655</v>
      </c>
      <c r="O529" s="12">
        <f>3386+2</f>
        <v>3388</v>
      </c>
      <c r="Q529" s="3"/>
      <c r="R529" s="3"/>
      <c r="S529" s="6"/>
      <c r="T529" s="7"/>
      <c r="U529" s="7"/>
      <c r="V529" s="7"/>
      <c r="W529" s="7"/>
      <c r="X529" s="7"/>
      <c r="Y529" s="7"/>
      <c r="Z529" s="7"/>
      <c r="AA529" s="7"/>
      <c r="AB529" s="7"/>
      <c r="AC529" s="7"/>
      <c r="AD529" s="7"/>
      <c r="AE529" s="8"/>
      <c r="AF529" s="8"/>
      <c r="AG529" s="12"/>
    </row>
    <row r="530" spans="1:33" ht="19.7" customHeight="1" x14ac:dyDescent="0.25">
      <c r="A530" s="6">
        <v>43547</v>
      </c>
      <c r="B530" s="7">
        <f t="shared" ref="B530" si="632">IF(SUM(C530:J530)="","",SUM(C530:J530))</f>
        <v>19226</v>
      </c>
      <c r="C530" s="7">
        <f>18975+12</f>
        <v>18987</v>
      </c>
      <c r="D530" s="7">
        <v>199</v>
      </c>
      <c r="E530" s="7">
        <v>40</v>
      </c>
      <c r="F530" s="7">
        <v>0</v>
      </c>
      <c r="G530" s="7">
        <v>0</v>
      </c>
      <c r="H530" s="7">
        <v>0</v>
      </c>
      <c r="I530" s="7">
        <v>0</v>
      </c>
      <c r="J530" s="7">
        <v>0</v>
      </c>
      <c r="K530" s="7">
        <f t="shared" ref="K530:L530" si="633">IF(B530=0,"",B530-B478)</f>
        <v>-3050</v>
      </c>
      <c r="L530" s="7">
        <f t="shared" si="633"/>
        <v>-2964</v>
      </c>
      <c r="M530" s="8">
        <f t="shared" ref="M530:N530" si="634">IF(K530="","",B530/B478-1)</f>
        <v>-0.13691865685042193</v>
      </c>
      <c r="N530" s="8">
        <f t="shared" si="634"/>
        <v>-0.13502801694683608</v>
      </c>
      <c r="O530" s="12">
        <f>3402+0</f>
        <v>3402</v>
      </c>
      <c r="Q530" s="3"/>
      <c r="R530" s="3"/>
      <c r="S530" s="6"/>
      <c r="T530" s="7"/>
      <c r="U530" s="7"/>
      <c r="V530" s="7"/>
      <c r="W530" s="7"/>
      <c r="X530" s="7"/>
      <c r="Y530" s="7"/>
      <c r="Z530" s="7"/>
      <c r="AA530" s="7"/>
      <c r="AB530" s="7"/>
      <c r="AC530" s="7"/>
      <c r="AD530" s="7"/>
      <c r="AE530" s="8"/>
      <c r="AF530" s="8"/>
      <c r="AG530" s="12"/>
    </row>
    <row r="531" spans="1:33" ht="19.7" customHeight="1" x14ac:dyDescent="0.25">
      <c r="A531" s="6">
        <v>43554</v>
      </c>
      <c r="B531" s="7">
        <f t="shared" ref="B531" si="635">IF(SUM(C531:J531)="","",SUM(C531:J531))</f>
        <v>19367</v>
      </c>
      <c r="C531" s="7">
        <f>19075+37</f>
        <v>19112</v>
      </c>
      <c r="D531" s="7">
        <v>207</v>
      </c>
      <c r="E531" s="7">
        <v>48</v>
      </c>
      <c r="F531" s="7">
        <v>0</v>
      </c>
      <c r="G531" s="7">
        <v>0</v>
      </c>
      <c r="H531" s="7">
        <v>0</v>
      </c>
      <c r="I531" s="7">
        <v>0</v>
      </c>
      <c r="J531" s="7">
        <v>0</v>
      </c>
      <c r="K531" s="7">
        <f t="shared" ref="K531:L531" si="636">IF(B531=0,"",B531-B479)</f>
        <v>-2569</v>
      </c>
      <c r="L531" s="7">
        <f t="shared" si="636"/>
        <v>-2530</v>
      </c>
      <c r="M531" s="8">
        <f t="shared" ref="M531:N531" si="637">IF(K531="","",B531/B479-1)</f>
        <v>-0.11711342086068566</v>
      </c>
      <c r="N531" s="8">
        <f t="shared" si="637"/>
        <v>-0.11690231956381114</v>
      </c>
      <c r="O531" s="12">
        <f>3738+2</f>
        <v>3740</v>
      </c>
      <c r="Q531" s="3"/>
      <c r="R531" s="3"/>
      <c r="S531" s="6"/>
      <c r="T531" s="7"/>
      <c r="U531" s="7"/>
      <c r="V531" s="7"/>
      <c r="W531" s="7"/>
      <c r="X531" s="7"/>
      <c r="Y531" s="7"/>
      <c r="Z531" s="7"/>
      <c r="AA531" s="7"/>
      <c r="AB531" s="7"/>
      <c r="AC531" s="7"/>
      <c r="AD531" s="7"/>
      <c r="AE531" s="8"/>
      <c r="AF531" s="8"/>
      <c r="AG531" s="12"/>
    </row>
    <row r="532" spans="1:33" ht="19.7" customHeight="1" x14ac:dyDescent="0.25">
      <c r="A532" s="6">
        <v>43561</v>
      </c>
      <c r="B532" s="7">
        <f t="shared" ref="B532" si="638">IF(SUM(C532:J532)="","",SUM(C532:J532))</f>
        <v>18986</v>
      </c>
      <c r="C532" s="7">
        <f>18743+12</f>
        <v>18755</v>
      </c>
      <c r="D532" s="7">
        <v>181</v>
      </c>
      <c r="E532" s="7">
        <v>50</v>
      </c>
      <c r="F532" s="7">
        <v>0</v>
      </c>
      <c r="G532" s="7">
        <v>0</v>
      </c>
      <c r="H532" s="7">
        <v>0</v>
      </c>
      <c r="I532" s="7">
        <v>0</v>
      </c>
      <c r="J532" s="7">
        <v>0</v>
      </c>
      <c r="K532" s="7">
        <f t="shared" ref="K532:L532" si="639">IF(B532=0,"",B532-B480)</f>
        <v>-3004</v>
      </c>
      <c r="L532" s="7">
        <f t="shared" si="639"/>
        <v>-2954</v>
      </c>
      <c r="M532" s="8">
        <f t="shared" ref="M532:N532" si="640">IF(K532="","",B532/B480-1)</f>
        <v>-0.13660754888585724</v>
      </c>
      <c r="N532" s="8">
        <f t="shared" si="640"/>
        <v>-0.1360725966189138</v>
      </c>
      <c r="O532" s="12">
        <f>5029+0</f>
        <v>5029</v>
      </c>
      <c r="Q532" s="3"/>
      <c r="R532" s="3"/>
      <c r="S532" s="6"/>
      <c r="T532" s="7"/>
      <c r="U532" s="7"/>
      <c r="V532" s="7"/>
      <c r="W532" s="7"/>
      <c r="X532" s="7"/>
      <c r="Y532" s="7"/>
      <c r="Z532" s="7"/>
      <c r="AA532" s="7"/>
      <c r="AB532" s="7"/>
      <c r="AC532" s="7"/>
      <c r="AD532" s="7"/>
      <c r="AE532" s="8"/>
      <c r="AF532" s="8"/>
      <c r="AG532" s="12"/>
    </row>
    <row r="533" spans="1:33" ht="19.7" customHeight="1" x14ac:dyDescent="0.25">
      <c r="A533" s="6">
        <v>43568</v>
      </c>
      <c r="B533" s="7">
        <f t="shared" ref="B533" si="641">IF(SUM(C533:J533)="","",SUM(C533:J533))</f>
        <v>19936</v>
      </c>
      <c r="C533" s="7">
        <f>19714+22</f>
        <v>19736</v>
      </c>
      <c r="D533" s="7">
        <v>160</v>
      </c>
      <c r="E533" s="7">
        <v>40</v>
      </c>
      <c r="F533" s="7">
        <v>0</v>
      </c>
      <c r="G533" s="7">
        <v>0</v>
      </c>
      <c r="H533" s="7">
        <v>0</v>
      </c>
      <c r="I533" s="7">
        <v>0</v>
      </c>
      <c r="J533" s="7">
        <v>0</v>
      </c>
      <c r="K533" s="7">
        <f t="shared" ref="K533:L533" si="642">IF(B533=0,"",B533-B481)</f>
        <v>-3285</v>
      </c>
      <c r="L533" s="7">
        <f t="shared" si="642"/>
        <v>-3234</v>
      </c>
      <c r="M533" s="8">
        <f t="shared" ref="M533:N533" si="643">IF(K533="","",B533/B481-1)</f>
        <v>-0.14146677576331768</v>
      </c>
      <c r="N533" s="8">
        <f t="shared" si="643"/>
        <v>-0.14079233783195477</v>
      </c>
      <c r="O533" s="12">
        <f>5847+1</f>
        <v>5848</v>
      </c>
      <c r="Q533" s="3"/>
      <c r="R533" s="3"/>
      <c r="S533" s="6"/>
      <c r="T533" s="7"/>
      <c r="U533" s="7"/>
      <c r="V533" s="7"/>
      <c r="W533" s="7"/>
      <c r="X533" s="7"/>
      <c r="Y533" s="7"/>
      <c r="Z533" s="7"/>
      <c r="AA533" s="7"/>
      <c r="AB533" s="7"/>
      <c r="AC533" s="7"/>
      <c r="AD533" s="7"/>
      <c r="AE533" s="8"/>
      <c r="AF533" s="8"/>
      <c r="AG533" s="12"/>
    </row>
    <row r="534" spans="1:33" ht="19.7" customHeight="1" x14ac:dyDescent="0.25">
      <c r="A534" s="6">
        <v>43575</v>
      </c>
      <c r="B534" s="7">
        <f t="shared" ref="B534" si="644">IF(SUM(C534:J534)="","",SUM(C534:J534))</f>
        <v>21209</v>
      </c>
      <c r="C534" s="7">
        <f>21015+13</f>
        <v>21028</v>
      </c>
      <c r="D534" s="7">
        <v>141</v>
      </c>
      <c r="E534" s="7">
        <v>40</v>
      </c>
      <c r="F534" s="7">
        <v>0</v>
      </c>
      <c r="G534" s="7">
        <v>0</v>
      </c>
      <c r="H534" s="7">
        <v>0</v>
      </c>
      <c r="I534" s="7">
        <v>0</v>
      </c>
      <c r="J534" s="7">
        <v>0</v>
      </c>
      <c r="K534" s="7">
        <f t="shared" ref="K534:L534" si="645">IF(B534=0,"",B534-B482)</f>
        <v>-3867</v>
      </c>
      <c r="L534" s="7">
        <f t="shared" si="645"/>
        <v>-3807</v>
      </c>
      <c r="M534" s="8">
        <f t="shared" ref="M534:N534" si="646">IF(K534="","",B534/B482-1)</f>
        <v>-0.15421119795820704</v>
      </c>
      <c r="N534" s="8">
        <f t="shared" si="646"/>
        <v>-0.15329172538755786</v>
      </c>
      <c r="O534" s="12">
        <f>5320+10</f>
        <v>5330</v>
      </c>
      <c r="Q534" s="3"/>
      <c r="R534" s="3"/>
      <c r="S534" s="6"/>
      <c r="T534" s="7"/>
      <c r="U534" s="7"/>
      <c r="V534" s="7"/>
      <c r="W534" s="7"/>
      <c r="X534" s="7"/>
      <c r="Y534" s="7"/>
      <c r="Z534" s="7"/>
      <c r="AA534" s="7"/>
      <c r="AB534" s="7"/>
      <c r="AC534" s="7"/>
      <c r="AD534" s="7"/>
      <c r="AE534" s="8"/>
      <c r="AF534" s="8"/>
      <c r="AG534" s="12"/>
    </row>
    <row r="535" spans="1:33" ht="19.7" customHeight="1" x14ac:dyDescent="0.25">
      <c r="A535" s="6">
        <v>43582</v>
      </c>
      <c r="B535" s="7">
        <f t="shared" ref="B535" si="647">IF(SUM(C535:J535)="","",SUM(C535:J535))</f>
        <v>23071</v>
      </c>
      <c r="C535" s="7">
        <f>22911+1</f>
        <v>22912</v>
      </c>
      <c r="D535" s="7">
        <v>114</v>
      </c>
      <c r="E535" s="7">
        <v>45</v>
      </c>
      <c r="F535" s="7">
        <v>0</v>
      </c>
      <c r="G535" s="7">
        <v>0</v>
      </c>
      <c r="H535" s="7">
        <v>0</v>
      </c>
      <c r="I535" s="7">
        <v>0</v>
      </c>
      <c r="J535" s="7">
        <v>0</v>
      </c>
      <c r="K535" s="7">
        <f t="shared" ref="K535:L535" si="648">IF(B535=0,"",B535-B483)</f>
        <v>-3521</v>
      </c>
      <c r="L535" s="7">
        <f t="shared" si="648"/>
        <v>-3478</v>
      </c>
      <c r="M535" s="8">
        <f t="shared" ref="M535:N535" si="649">IF(K535="","",B535/B483-1)</f>
        <v>-0.13240824308062571</v>
      </c>
      <c r="N535" s="8">
        <f t="shared" si="649"/>
        <v>-0.13179234558544906</v>
      </c>
      <c r="O535" s="12">
        <f>5302+1</f>
        <v>5303</v>
      </c>
      <c r="Q535" s="3"/>
      <c r="R535" s="3"/>
      <c r="S535" s="6"/>
      <c r="T535" s="7"/>
      <c r="U535" s="7"/>
      <c r="V535" s="7"/>
      <c r="W535" s="7"/>
      <c r="X535" s="7"/>
      <c r="Y535" s="7"/>
      <c r="Z535" s="7"/>
      <c r="AA535" s="7"/>
      <c r="AB535" s="7"/>
      <c r="AC535" s="7"/>
      <c r="AD535" s="7"/>
      <c r="AE535" s="8"/>
      <c r="AF535" s="8"/>
      <c r="AG535" s="12"/>
    </row>
    <row r="536" spans="1:33" ht="19.7" customHeight="1" x14ac:dyDescent="0.25">
      <c r="A536" s="6">
        <v>43589</v>
      </c>
      <c r="B536" s="7">
        <f t="shared" ref="B536" si="650">IF(SUM(C536:J536)="","",SUM(C536:J536))</f>
        <v>23888</v>
      </c>
      <c r="C536" s="7">
        <f>23732+1</f>
        <v>23733</v>
      </c>
      <c r="D536" s="7">
        <v>111</v>
      </c>
      <c r="E536" s="7">
        <v>44</v>
      </c>
      <c r="F536" s="7">
        <v>0</v>
      </c>
      <c r="G536" s="7">
        <v>0</v>
      </c>
      <c r="H536" s="7">
        <v>0</v>
      </c>
      <c r="I536" s="7">
        <v>0</v>
      </c>
      <c r="J536" s="7">
        <v>0</v>
      </c>
      <c r="K536" s="7">
        <f t="shared" ref="K536:L536" si="651">IF(B536=0,"",B536-B484)</f>
        <v>-3703</v>
      </c>
      <c r="L536" s="7">
        <f t="shared" si="651"/>
        <v>-3665</v>
      </c>
      <c r="M536" s="8">
        <f t="shared" ref="M536:N536" si="652">IF(K536="","",B536/B484-1)</f>
        <v>-0.13421043093762464</v>
      </c>
      <c r="N536" s="8">
        <f t="shared" si="652"/>
        <v>-0.13376888824001754</v>
      </c>
      <c r="O536" s="12">
        <f>4634+1</f>
        <v>4635</v>
      </c>
      <c r="Q536" s="3"/>
      <c r="R536" s="3"/>
      <c r="S536" s="6"/>
      <c r="T536" s="7"/>
      <c r="U536" s="7"/>
      <c r="V536" s="7"/>
      <c r="W536" s="7"/>
      <c r="X536" s="7"/>
      <c r="Y536" s="7"/>
      <c r="Z536" s="7"/>
      <c r="AA536" s="7"/>
      <c r="AB536" s="7"/>
      <c r="AC536" s="7"/>
      <c r="AD536" s="7"/>
      <c r="AE536" s="8"/>
      <c r="AF536" s="8"/>
      <c r="AG536" s="12"/>
    </row>
    <row r="537" spans="1:33" ht="19.7" customHeight="1" x14ac:dyDescent="0.25">
      <c r="A537" s="6">
        <v>43596</v>
      </c>
      <c r="B537" s="7">
        <f t="shared" ref="B537" si="653">IF(SUM(C537:J537)="","",SUM(C537:J537))</f>
        <v>25000</v>
      </c>
      <c r="C537" s="7">
        <f>24868+12</f>
        <v>24880</v>
      </c>
      <c r="D537" s="7">
        <v>73</v>
      </c>
      <c r="E537" s="7">
        <v>47</v>
      </c>
      <c r="F537" s="7">
        <v>0</v>
      </c>
      <c r="G537" s="7">
        <v>0</v>
      </c>
      <c r="H537" s="7">
        <v>0</v>
      </c>
      <c r="I537" s="7">
        <v>0</v>
      </c>
      <c r="J537" s="7">
        <v>0</v>
      </c>
      <c r="K537" s="7">
        <f t="shared" ref="K537:L537" si="654">IF(B537=0,"",B537-B485)</f>
        <v>-2424</v>
      </c>
      <c r="L537" s="7">
        <f t="shared" si="654"/>
        <v>-2377</v>
      </c>
      <c r="M537" s="8">
        <f t="shared" ref="M537:N537" si="655">IF(K537="","",B537/B485-1)</f>
        <v>-8.8389731621936973E-2</v>
      </c>
      <c r="N537" s="8">
        <f t="shared" si="655"/>
        <v>-8.7206956011299797E-2</v>
      </c>
      <c r="O537" s="12">
        <f>4262+2</f>
        <v>4264</v>
      </c>
      <c r="Q537" s="3"/>
      <c r="R537" s="3"/>
      <c r="S537" s="6"/>
      <c r="T537" s="7"/>
      <c r="U537" s="7"/>
      <c r="V537" s="7"/>
      <c r="W537" s="7"/>
      <c r="X537" s="7"/>
      <c r="Y537" s="7"/>
      <c r="Z537" s="7"/>
      <c r="AA537" s="7"/>
      <c r="AB537" s="7"/>
      <c r="AC537" s="7"/>
      <c r="AD537" s="7"/>
      <c r="AE537" s="8"/>
      <c r="AF537" s="8"/>
      <c r="AG537" s="12"/>
    </row>
    <row r="538" spans="1:33" ht="19.7" customHeight="1" x14ac:dyDescent="0.25">
      <c r="A538" s="6">
        <v>43603</v>
      </c>
      <c r="B538" s="7">
        <f t="shared" ref="B538" si="656">IF(SUM(C538:J538)="","",SUM(C538:J538))</f>
        <v>25613</v>
      </c>
      <c r="C538" s="7">
        <f>25471+26</f>
        <v>25497</v>
      </c>
      <c r="D538" s="7">
        <v>66</v>
      </c>
      <c r="E538" s="7">
        <v>50</v>
      </c>
      <c r="F538" s="7">
        <v>0</v>
      </c>
      <c r="G538" s="7">
        <v>0</v>
      </c>
      <c r="H538" s="7">
        <v>0</v>
      </c>
      <c r="I538" s="7">
        <v>0</v>
      </c>
      <c r="J538" s="7">
        <v>0</v>
      </c>
      <c r="K538" s="7">
        <f t="shared" ref="K538:L538" si="657">IF(B538=0,"",B538-B486)</f>
        <v>-2173</v>
      </c>
      <c r="L538" s="7">
        <f t="shared" si="657"/>
        <v>-2134</v>
      </c>
      <c r="M538" s="8">
        <f t="shared" ref="M538:N538" si="658">IF(K538="","",B538/B486-1)</f>
        <v>-7.8204851363996242E-2</v>
      </c>
      <c r="N538" s="8">
        <f t="shared" si="658"/>
        <v>-7.7232094386739503E-2</v>
      </c>
      <c r="O538" s="12">
        <f>4279+1</f>
        <v>4280</v>
      </c>
      <c r="Q538" s="3"/>
      <c r="R538" s="3"/>
      <c r="S538" s="6"/>
      <c r="T538" s="7"/>
      <c r="U538" s="7"/>
      <c r="V538" s="7"/>
      <c r="W538" s="7"/>
      <c r="X538" s="7"/>
      <c r="Y538" s="7"/>
      <c r="Z538" s="7"/>
      <c r="AA538" s="7"/>
      <c r="AB538" s="7"/>
      <c r="AC538" s="7"/>
      <c r="AD538" s="7"/>
      <c r="AE538" s="8"/>
      <c r="AF538" s="8"/>
      <c r="AG538" s="12"/>
    </row>
    <row r="539" spans="1:33" ht="19.7" customHeight="1" x14ac:dyDescent="0.25">
      <c r="A539" s="6">
        <v>43610</v>
      </c>
      <c r="B539" s="7">
        <f t="shared" ref="B539" si="659">IF(SUM(C539:J539)="","",SUM(C539:J539))</f>
        <v>25734</v>
      </c>
      <c r="C539" s="7">
        <f>25605+4</f>
        <v>25609</v>
      </c>
      <c r="D539" s="7">
        <v>73</v>
      </c>
      <c r="E539" s="7">
        <v>52</v>
      </c>
      <c r="F539" s="7">
        <v>0</v>
      </c>
      <c r="G539" s="7">
        <v>0</v>
      </c>
      <c r="H539" s="7">
        <v>0</v>
      </c>
      <c r="I539" s="7">
        <v>0</v>
      </c>
      <c r="J539" s="7">
        <v>0</v>
      </c>
      <c r="K539" s="7">
        <f t="shared" ref="K539:L539" si="660">IF(B539=0,"",B539-B487)</f>
        <v>-1922</v>
      </c>
      <c r="L539" s="7">
        <f t="shared" si="660"/>
        <v>-1897</v>
      </c>
      <c r="M539" s="8">
        <f t="shared" ref="M539:N539" si="661">IF(K539="","",B539/B487-1)</f>
        <v>-6.9496673416256871E-2</v>
      </c>
      <c r="N539" s="8">
        <f t="shared" si="661"/>
        <v>-6.8966770886352058E-2</v>
      </c>
      <c r="O539" s="12">
        <f>4129+0</f>
        <v>4129</v>
      </c>
      <c r="Q539" s="3"/>
      <c r="R539" s="3"/>
      <c r="S539" s="6"/>
      <c r="T539" s="7"/>
      <c r="U539" s="7"/>
      <c r="V539" s="7"/>
      <c r="W539" s="7"/>
      <c r="X539" s="7"/>
      <c r="Y539" s="7"/>
      <c r="Z539" s="7"/>
      <c r="AA539" s="7"/>
      <c r="AB539" s="7"/>
      <c r="AC539" s="7"/>
      <c r="AD539" s="7"/>
      <c r="AE539" s="8"/>
      <c r="AF539" s="8"/>
      <c r="AG539" s="12"/>
    </row>
    <row r="540" spans="1:33" ht="19.7" customHeight="1" x14ac:dyDescent="0.25">
      <c r="A540" s="6">
        <v>43617</v>
      </c>
      <c r="B540" s="7">
        <f t="shared" ref="B540" si="662">IF(SUM(C540:J540)="","",SUM(C540:J540))</f>
        <v>25416</v>
      </c>
      <c r="C540" s="7">
        <f>25272+35</f>
        <v>25307</v>
      </c>
      <c r="D540" s="7">
        <v>68</v>
      </c>
      <c r="E540" s="7">
        <v>41</v>
      </c>
      <c r="F540" s="7">
        <v>0</v>
      </c>
      <c r="G540" s="7">
        <v>0</v>
      </c>
      <c r="H540" s="7">
        <v>0</v>
      </c>
      <c r="I540" s="7">
        <v>0</v>
      </c>
      <c r="J540" s="7">
        <v>0</v>
      </c>
      <c r="K540" s="7">
        <f t="shared" ref="K540:L540" si="663">IF(B540=0,"",B540-B488)</f>
        <v>-2463</v>
      </c>
      <c r="L540" s="7">
        <f t="shared" si="663"/>
        <v>-2409</v>
      </c>
      <c r="M540" s="8">
        <f t="shared" ref="M540:N540" si="664">IF(K540="","",B540/B488-1)</f>
        <v>-8.8346066932099454E-2</v>
      </c>
      <c r="N540" s="8">
        <f t="shared" si="664"/>
        <v>-8.6917304084283442E-2</v>
      </c>
      <c r="O540" s="12">
        <f>4077+1</f>
        <v>4078</v>
      </c>
      <c r="Q540" s="3"/>
      <c r="R540" s="3"/>
      <c r="S540" s="6"/>
      <c r="T540" s="7"/>
      <c r="U540" s="7"/>
      <c r="V540" s="7"/>
      <c r="W540" s="7"/>
      <c r="X540" s="7"/>
      <c r="Y540" s="7"/>
      <c r="Z540" s="7"/>
      <c r="AA540" s="7"/>
      <c r="AB540" s="7"/>
      <c r="AC540" s="7"/>
      <c r="AD540" s="7"/>
      <c r="AE540" s="8"/>
      <c r="AF540" s="8"/>
      <c r="AG540" s="12"/>
    </row>
    <row r="541" spans="1:33" ht="19.7" customHeight="1" x14ac:dyDescent="0.25">
      <c r="A541" s="6">
        <v>43624</v>
      </c>
      <c r="B541" s="7">
        <f t="shared" ref="B541" si="665">IF(SUM(C541:J541)="","",SUM(C541:J541))</f>
        <v>26481</v>
      </c>
      <c r="C541" s="7">
        <f>26294+14</f>
        <v>26308</v>
      </c>
      <c r="D541" s="7">
        <v>122</v>
      </c>
      <c r="E541" s="7">
        <v>51</v>
      </c>
      <c r="F541" s="7">
        <v>0</v>
      </c>
      <c r="G541" s="7">
        <v>0</v>
      </c>
      <c r="H541" s="7">
        <v>0</v>
      </c>
      <c r="I541" s="7">
        <v>0</v>
      </c>
      <c r="J541" s="7">
        <v>0</v>
      </c>
      <c r="K541" s="7">
        <f t="shared" ref="K541:L541" si="666">IF(B541=0,"",B541-B489)</f>
        <v>-1666</v>
      </c>
      <c r="L541" s="7">
        <f t="shared" si="666"/>
        <v>-1620</v>
      </c>
      <c r="M541" s="8">
        <f t="shared" ref="M541:N541" si="667">IF(K541="","",B541/B489-1)</f>
        <v>-5.918925640387962E-2</v>
      </c>
      <c r="N541" s="8">
        <f t="shared" si="667"/>
        <v>-5.8006301919220848E-2</v>
      </c>
      <c r="O541" s="12">
        <f>4669+1</f>
        <v>4670</v>
      </c>
      <c r="Q541" s="3"/>
      <c r="R541" s="3"/>
      <c r="S541" s="6"/>
      <c r="T541" s="7"/>
      <c r="U541" s="7"/>
      <c r="V541" s="7"/>
      <c r="W541" s="7"/>
      <c r="X541" s="7"/>
      <c r="Y541" s="7"/>
      <c r="Z541" s="7"/>
      <c r="AA541" s="7"/>
      <c r="AB541" s="7"/>
      <c r="AC541" s="7"/>
      <c r="AD541" s="7"/>
      <c r="AE541" s="8"/>
      <c r="AF541" s="8"/>
      <c r="AG541" s="12"/>
    </row>
    <row r="542" spans="1:33" ht="19.7" customHeight="1" x14ac:dyDescent="0.25">
      <c r="A542" s="6">
        <v>43631</v>
      </c>
      <c r="B542" s="7">
        <f t="shared" ref="B542" si="668">IF(SUM(C542:J542)="","",SUM(C542:J542))</f>
        <v>26176</v>
      </c>
      <c r="C542" s="7">
        <f>25962+30</f>
        <v>25992</v>
      </c>
      <c r="D542" s="7">
        <v>141</v>
      </c>
      <c r="E542" s="7">
        <v>43</v>
      </c>
      <c r="F542" s="7">
        <v>0</v>
      </c>
      <c r="G542" s="7">
        <v>0</v>
      </c>
      <c r="H542" s="7">
        <v>0</v>
      </c>
      <c r="I542" s="7">
        <v>0</v>
      </c>
      <c r="J542" s="7">
        <v>0</v>
      </c>
      <c r="K542" s="7">
        <f t="shared" ref="K542:L542" si="669">IF(B542=0,"",B542-B490)</f>
        <v>-2629</v>
      </c>
      <c r="L542" s="7">
        <f t="shared" si="669"/>
        <v>-2563</v>
      </c>
      <c r="M542" s="8">
        <f t="shared" ref="M542:N542" si="670">IF(K542="","",B542/B490-1)</f>
        <v>-9.1268876931088316E-2</v>
      </c>
      <c r="N542" s="8">
        <f t="shared" si="670"/>
        <v>-8.9756610050779173E-2</v>
      </c>
      <c r="O542" s="12">
        <f>4218+1</f>
        <v>4219</v>
      </c>
      <c r="Q542" s="3"/>
      <c r="R542" s="3"/>
      <c r="S542" s="6"/>
      <c r="T542" s="7"/>
      <c r="U542" s="7"/>
      <c r="V542" s="7"/>
      <c r="W542" s="7"/>
      <c r="X542" s="7"/>
      <c r="Y542" s="7"/>
      <c r="Z542" s="7"/>
      <c r="AA542" s="7"/>
      <c r="AB542" s="7"/>
      <c r="AC542" s="7"/>
      <c r="AD542" s="7"/>
      <c r="AE542" s="8"/>
      <c r="AF542" s="8"/>
      <c r="AG542" s="12"/>
    </row>
    <row r="543" spans="1:33" ht="19.7" customHeight="1" x14ac:dyDescent="0.25">
      <c r="A543" s="6">
        <v>43638</v>
      </c>
      <c r="B543" s="7">
        <f t="shared" ref="B543" si="671">IF(SUM(C543:J543)="","",SUM(C543:J543))</f>
        <v>26809</v>
      </c>
      <c r="C543" s="7">
        <f>26598+8</f>
        <v>26606</v>
      </c>
      <c r="D543" s="7">
        <v>152</v>
      </c>
      <c r="E543" s="7">
        <v>51</v>
      </c>
      <c r="F543" s="7">
        <v>0</v>
      </c>
      <c r="G543" s="7">
        <v>0</v>
      </c>
      <c r="H543" s="7">
        <v>0</v>
      </c>
      <c r="I543" s="7">
        <v>0</v>
      </c>
      <c r="J543" s="7">
        <v>0</v>
      </c>
      <c r="K543" s="7">
        <f t="shared" ref="K543:L543" si="672">IF(B543=0,"",B543-B491)</f>
        <v>-1768</v>
      </c>
      <c r="L543" s="7">
        <f t="shared" si="672"/>
        <v>-1715</v>
      </c>
      <c r="M543" s="8">
        <f t="shared" ref="M543:N543" si="673">IF(K543="","",B543/B491-1)</f>
        <v>-6.1867935752528247E-2</v>
      </c>
      <c r="N543" s="8">
        <f t="shared" si="673"/>
        <v>-6.0555771335757957E-2</v>
      </c>
      <c r="O543" s="12">
        <f>4173+4</f>
        <v>4177</v>
      </c>
      <c r="Q543" s="3"/>
      <c r="R543" s="3"/>
      <c r="S543" s="6"/>
      <c r="T543" s="7"/>
      <c r="U543" s="7"/>
      <c r="V543" s="7"/>
      <c r="W543" s="7"/>
      <c r="X543" s="7"/>
      <c r="Y543" s="7"/>
      <c r="Z543" s="7"/>
      <c r="AA543" s="7"/>
      <c r="AB543" s="7"/>
      <c r="AC543" s="7"/>
      <c r="AD543" s="7"/>
      <c r="AE543" s="8"/>
      <c r="AF543" s="8"/>
      <c r="AG543" s="12"/>
    </row>
    <row r="544" spans="1:33" ht="19.7" customHeight="1" x14ac:dyDescent="0.25">
      <c r="A544" s="6">
        <v>43645</v>
      </c>
      <c r="B544" s="7">
        <f t="shared" ref="B544" si="674">IF(SUM(C544:J544)="","",SUM(C544:J544))</f>
        <v>26695</v>
      </c>
      <c r="C544" s="7">
        <f>26443+27</f>
        <v>26470</v>
      </c>
      <c r="D544" s="7">
        <v>165</v>
      </c>
      <c r="E544" s="7">
        <v>60</v>
      </c>
      <c r="F544" s="7">
        <v>0</v>
      </c>
      <c r="G544" s="7">
        <v>0</v>
      </c>
      <c r="H544" s="7">
        <v>0</v>
      </c>
      <c r="I544" s="7">
        <v>0</v>
      </c>
      <c r="J544" s="7">
        <v>0</v>
      </c>
      <c r="K544" s="7">
        <f t="shared" ref="K544:L544" si="675">IF(B544=0,"",B544-B492)</f>
        <v>-2624</v>
      </c>
      <c r="L544" s="7">
        <f t="shared" si="675"/>
        <v>-2572</v>
      </c>
      <c r="M544" s="8">
        <f t="shared" ref="M544:N544" si="676">IF(K544="","",B544/B492-1)</f>
        <v>-8.949827756744777E-2</v>
      </c>
      <c r="N544" s="8">
        <f t="shared" si="676"/>
        <v>-8.8561393843399228E-2</v>
      </c>
      <c r="O544" s="12">
        <f>4192+16</f>
        <v>4208</v>
      </c>
      <c r="Q544" s="3"/>
      <c r="R544" s="3"/>
      <c r="S544" s="6"/>
      <c r="T544" s="7"/>
      <c r="U544" s="7"/>
      <c r="V544" s="7"/>
      <c r="W544" s="7"/>
      <c r="X544" s="7"/>
      <c r="Y544" s="7"/>
      <c r="Z544" s="7"/>
      <c r="AA544" s="7"/>
      <c r="AB544" s="7"/>
      <c r="AC544" s="7"/>
      <c r="AD544" s="7"/>
      <c r="AE544" s="8"/>
      <c r="AF544" s="8"/>
      <c r="AG544" s="12"/>
    </row>
    <row r="545" spans="1:33" ht="19.7" customHeight="1" x14ac:dyDescent="0.25">
      <c r="A545" s="6">
        <v>43652</v>
      </c>
      <c r="B545" s="7">
        <f t="shared" ref="B545" si="677">IF(SUM(C545:J545)="","",SUM(C545:J545))</f>
        <v>26918</v>
      </c>
      <c r="C545" s="7">
        <f>26685+4</f>
        <v>26689</v>
      </c>
      <c r="D545" s="7">
        <v>174</v>
      </c>
      <c r="E545" s="7">
        <v>55</v>
      </c>
      <c r="F545" s="7">
        <v>0</v>
      </c>
      <c r="G545" s="7">
        <v>0</v>
      </c>
      <c r="H545" s="7">
        <v>0</v>
      </c>
      <c r="I545" s="7">
        <v>0</v>
      </c>
      <c r="J545" s="7">
        <v>0</v>
      </c>
      <c r="K545" s="7">
        <f t="shared" ref="K545:L545" si="678">IF(B545=0,"",B545-B493)</f>
        <v>-2266</v>
      </c>
      <c r="L545" s="7">
        <f t="shared" si="678"/>
        <v>-2207</v>
      </c>
      <c r="M545" s="8">
        <f t="shared" ref="M545:N545" si="679">IF(K545="","",B545/B493-1)</f>
        <v>-7.7645285087719285E-2</v>
      </c>
      <c r="N545" s="8">
        <f t="shared" si="679"/>
        <v>-7.6377353266888104E-2</v>
      </c>
      <c r="O545" s="12">
        <f>4411+1</f>
        <v>4412</v>
      </c>
      <c r="Q545" s="3"/>
      <c r="R545" s="3"/>
      <c r="S545" s="6"/>
      <c r="T545" s="7"/>
      <c r="U545" s="7"/>
      <c r="V545" s="7"/>
      <c r="W545" s="7"/>
      <c r="X545" s="7"/>
      <c r="Y545" s="7"/>
      <c r="Z545" s="7"/>
      <c r="AA545" s="7"/>
      <c r="AB545" s="7"/>
      <c r="AC545" s="7"/>
      <c r="AD545" s="7"/>
      <c r="AE545" s="8"/>
      <c r="AF545" s="8"/>
      <c r="AG545" s="12"/>
    </row>
    <row r="546" spans="1:33" ht="19.7" customHeight="1" x14ac:dyDescent="0.25">
      <c r="A546" s="6">
        <v>43659</v>
      </c>
      <c r="B546" s="7">
        <f t="shared" ref="B546" si="680">IF(SUM(C546:J546)="","",SUM(C546:J546))</f>
        <v>27648</v>
      </c>
      <c r="C546" s="7">
        <f>27348+53</f>
        <v>27401</v>
      </c>
      <c r="D546" s="7">
        <v>189</v>
      </c>
      <c r="E546" s="7">
        <v>58</v>
      </c>
      <c r="F546" s="7">
        <v>0</v>
      </c>
      <c r="G546" s="7">
        <v>0</v>
      </c>
      <c r="H546" s="7">
        <v>0</v>
      </c>
      <c r="I546" s="7">
        <v>0</v>
      </c>
      <c r="J546" s="7">
        <v>0</v>
      </c>
      <c r="K546" s="7">
        <f t="shared" ref="K546:L546" si="681">IF(B546=0,"",B546-B494)</f>
        <v>-3893</v>
      </c>
      <c r="L546" s="7">
        <f t="shared" si="681"/>
        <v>-3809</v>
      </c>
      <c r="M546" s="8">
        <f t="shared" ref="M546:N546" si="682">IF(K546="","",B546/B494-1)</f>
        <v>-0.1234266510256492</v>
      </c>
      <c r="N546" s="8">
        <f t="shared" si="682"/>
        <v>-0.12204421659724451</v>
      </c>
      <c r="O546" s="12">
        <f>5721+2</f>
        <v>5723</v>
      </c>
      <c r="Q546" s="3"/>
      <c r="R546" s="3"/>
      <c r="S546" s="6"/>
      <c r="T546" s="7"/>
      <c r="U546" s="7"/>
      <c r="V546" s="7"/>
      <c r="W546" s="7"/>
      <c r="X546" s="7"/>
      <c r="Y546" s="7"/>
      <c r="Z546" s="7"/>
      <c r="AA546" s="7"/>
      <c r="AB546" s="7"/>
      <c r="AC546" s="7"/>
      <c r="AD546" s="7"/>
      <c r="AE546" s="8"/>
      <c r="AF546" s="8"/>
      <c r="AG546" s="12"/>
    </row>
    <row r="547" spans="1:33" ht="19.7" customHeight="1" x14ac:dyDescent="0.25">
      <c r="A547" s="6">
        <v>43666</v>
      </c>
      <c r="B547" s="7">
        <f t="shared" ref="B547" si="683">IF(SUM(C547:J547)="","",SUM(C547:J547))</f>
        <v>29090</v>
      </c>
      <c r="C547" s="7">
        <f>28822+3</f>
        <v>28825</v>
      </c>
      <c r="D547" s="7">
        <v>206</v>
      </c>
      <c r="E547" s="7">
        <v>59</v>
      </c>
      <c r="F547" s="7">
        <v>0</v>
      </c>
      <c r="G547" s="7">
        <v>0</v>
      </c>
      <c r="H547" s="7">
        <v>0</v>
      </c>
      <c r="I547" s="7">
        <v>0</v>
      </c>
      <c r="J547" s="7">
        <v>0</v>
      </c>
      <c r="K547" s="7">
        <f t="shared" ref="K547:L547" si="684">IF(B547=0,"",B547-B495)</f>
        <v>-2920</v>
      </c>
      <c r="L547" s="7">
        <f t="shared" si="684"/>
        <v>-2845</v>
      </c>
      <c r="M547" s="8">
        <f t="shared" ref="M547:N547" si="685">IF(K547="","",B547/B495-1)</f>
        <v>-9.1221493283348942E-2</v>
      </c>
      <c r="N547" s="8">
        <f t="shared" si="685"/>
        <v>-8.983264919482159E-2</v>
      </c>
      <c r="O547" s="12">
        <f>4549+0</f>
        <v>4549</v>
      </c>
      <c r="Q547" s="3"/>
      <c r="R547" s="3"/>
      <c r="S547" s="6"/>
      <c r="T547" s="7"/>
      <c r="U547" s="7"/>
      <c r="V547" s="7"/>
      <c r="W547" s="7"/>
      <c r="X547" s="7"/>
      <c r="Y547" s="7"/>
      <c r="Z547" s="7"/>
      <c r="AA547" s="7"/>
      <c r="AB547" s="7"/>
      <c r="AC547" s="7"/>
      <c r="AD547" s="7"/>
      <c r="AE547" s="8"/>
      <c r="AF547" s="8"/>
      <c r="AG547" s="12"/>
    </row>
    <row r="548" spans="1:33" ht="19.7" customHeight="1" x14ac:dyDescent="0.25">
      <c r="A548" s="6">
        <v>43673</v>
      </c>
      <c r="B548" s="7">
        <f t="shared" ref="B548" si="686">IF(SUM(C548:J548)="","",SUM(C548:J548))</f>
        <v>29521</v>
      </c>
      <c r="C548" s="7">
        <f>29202+34</f>
        <v>29236</v>
      </c>
      <c r="D548" s="7">
        <v>230</v>
      </c>
      <c r="E548" s="7">
        <v>55</v>
      </c>
      <c r="F548" s="7">
        <v>0</v>
      </c>
      <c r="G548" s="7">
        <v>0</v>
      </c>
      <c r="H548" s="7">
        <v>0</v>
      </c>
      <c r="I548" s="7">
        <v>0</v>
      </c>
      <c r="J548" s="7">
        <v>0</v>
      </c>
      <c r="K548" s="7">
        <f t="shared" ref="K548:L548" si="687">IF(B548=0,"",B548-B496)</f>
        <v>-3056</v>
      </c>
      <c r="L548" s="7">
        <f t="shared" si="687"/>
        <v>-3005</v>
      </c>
      <c r="M548" s="8">
        <f t="shared" ref="M548:N548" si="688">IF(K548="","",B548/B496-1)</f>
        <v>-9.3808515210117571E-2</v>
      </c>
      <c r="N548" s="8">
        <f t="shared" si="688"/>
        <v>-9.3204305077385974E-2</v>
      </c>
      <c r="O548" s="12">
        <f>4011+8</f>
        <v>4019</v>
      </c>
      <c r="Q548" s="3"/>
      <c r="R548" s="3"/>
      <c r="S548" s="6"/>
      <c r="T548" s="7"/>
      <c r="U548" s="7"/>
      <c r="V548" s="7"/>
      <c r="W548" s="7"/>
      <c r="X548" s="7"/>
      <c r="Y548" s="7"/>
      <c r="Z548" s="7"/>
      <c r="AA548" s="7"/>
      <c r="AB548" s="7"/>
      <c r="AC548" s="7"/>
      <c r="AD548" s="7"/>
      <c r="AE548" s="8"/>
      <c r="AF548" s="8"/>
      <c r="AG548" s="12"/>
    </row>
    <row r="549" spans="1:33" ht="19.7" customHeight="1" x14ac:dyDescent="0.25">
      <c r="A549" s="6">
        <v>43680</v>
      </c>
      <c r="B549" s="7">
        <f t="shared" ref="B549" si="689">IF(SUM(C549:J549)="","",SUM(C549:J549))</f>
        <v>29569</v>
      </c>
      <c r="C549" s="7">
        <f>29297+2</f>
        <v>29299</v>
      </c>
      <c r="D549" s="7">
        <v>212</v>
      </c>
      <c r="E549" s="7">
        <v>58</v>
      </c>
      <c r="F549" s="7">
        <v>0</v>
      </c>
      <c r="G549" s="7">
        <v>0</v>
      </c>
      <c r="H549" s="7">
        <v>0</v>
      </c>
      <c r="I549" s="7">
        <v>0</v>
      </c>
      <c r="J549" s="7">
        <v>0</v>
      </c>
      <c r="K549" s="7">
        <f t="shared" ref="K549:L549" si="690">IF(B549=0,"",B549-B497)</f>
        <v>-2490</v>
      </c>
      <c r="L549" s="7">
        <f t="shared" si="690"/>
        <v>-2465</v>
      </c>
      <c r="M549" s="8">
        <f t="shared" ref="M549:N549" si="691">IF(K549="","",B549/B497-1)</f>
        <v>-7.7669297233226242E-2</v>
      </c>
      <c r="N549" s="8">
        <f t="shared" si="691"/>
        <v>-7.760357637577131E-2</v>
      </c>
      <c r="O549" s="12">
        <f>3906+2</f>
        <v>3908</v>
      </c>
      <c r="Q549" s="3"/>
      <c r="R549" s="3"/>
      <c r="S549" s="6"/>
      <c r="T549" s="7"/>
      <c r="U549" s="7"/>
      <c r="V549" s="7"/>
      <c r="W549" s="7"/>
      <c r="X549" s="7"/>
      <c r="Y549" s="7"/>
      <c r="Z549" s="7"/>
      <c r="AA549" s="7"/>
      <c r="AB549" s="7"/>
      <c r="AC549" s="7"/>
      <c r="AD549" s="7"/>
      <c r="AE549" s="8"/>
      <c r="AF549" s="8"/>
      <c r="AG549" s="12"/>
    </row>
    <row r="550" spans="1:33" ht="19.7" customHeight="1" x14ac:dyDescent="0.25">
      <c r="A550" s="6">
        <v>43687</v>
      </c>
      <c r="B550" s="7">
        <f t="shared" ref="B550" si="692">IF(SUM(C550:J550)="","",SUM(C550:J550))</f>
        <v>29062</v>
      </c>
      <c r="C550" s="7">
        <f>28842+29</f>
        <v>28871</v>
      </c>
      <c r="D550" s="7">
        <v>128</v>
      </c>
      <c r="E550" s="7">
        <v>63</v>
      </c>
      <c r="F550" s="7">
        <v>0</v>
      </c>
      <c r="G550" s="7">
        <v>0</v>
      </c>
      <c r="H550" s="7">
        <v>0</v>
      </c>
      <c r="I550" s="7">
        <v>0</v>
      </c>
      <c r="J550" s="7">
        <v>0</v>
      </c>
      <c r="K550" s="7">
        <f t="shared" ref="K550:L550" si="693">IF(B550=0,"",B550-B498)</f>
        <v>-2533</v>
      </c>
      <c r="L550" s="7">
        <f t="shared" si="693"/>
        <v>-2495</v>
      </c>
      <c r="M550" s="8">
        <f t="shared" ref="M550:N550" si="694">IF(K550="","",B550/B498-1)</f>
        <v>-8.0170913119164466E-2</v>
      </c>
      <c r="N550" s="8">
        <f t="shared" si="694"/>
        <v>-7.9544729962379601E-2</v>
      </c>
      <c r="O550" s="12">
        <f>3854+3</f>
        <v>3857</v>
      </c>
      <c r="Q550" s="3"/>
      <c r="R550" s="3"/>
      <c r="S550" s="6"/>
      <c r="T550" s="7"/>
      <c r="U550" s="7"/>
      <c r="V550" s="7"/>
      <c r="W550" s="7"/>
      <c r="X550" s="7"/>
      <c r="Y550" s="7"/>
      <c r="Z550" s="7"/>
      <c r="AA550" s="7"/>
      <c r="AB550" s="7"/>
      <c r="AC550" s="7"/>
      <c r="AD550" s="7"/>
      <c r="AE550" s="8"/>
      <c r="AF550" s="8"/>
      <c r="AG550" s="12"/>
    </row>
    <row r="551" spans="1:33" ht="19.7" customHeight="1" x14ac:dyDescent="0.25">
      <c r="A551" s="6">
        <v>43694</v>
      </c>
      <c r="B551" s="7">
        <f t="shared" ref="B551" si="695">IF(SUM(C551:J551)="","",SUM(C551:J551))</f>
        <v>28769</v>
      </c>
      <c r="C551" s="7">
        <f>28611+8</f>
        <v>28619</v>
      </c>
      <c r="D551" s="7">
        <v>96</v>
      </c>
      <c r="E551" s="7">
        <v>54</v>
      </c>
      <c r="F551" s="7">
        <v>0</v>
      </c>
      <c r="G551" s="7">
        <v>0</v>
      </c>
      <c r="H551" s="7">
        <v>0</v>
      </c>
      <c r="I551" s="7">
        <v>0</v>
      </c>
      <c r="J551" s="7">
        <v>0</v>
      </c>
      <c r="K551" s="7">
        <f t="shared" ref="K551:L551" si="696">IF(B551=0,"",B551-B499)</f>
        <v>-1888</v>
      </c>
      <c r="L551" s="7">
        <f t="shared" si="696"/>
        <v>-1858</v>
      </c>
      <c r="M551" s="8">
        <f t="shared" ref="M551:N551" si="697">IF(K551="","",B551/B499-1)</f>
        <v>-6.1584629937697755E-2</v>
      </c>
      <c r="N551" s="8">
        <f t="shared" si="697"/>
        <v>-6.096400564360005E-2</v>
      </c>
      <c r="O551" s="12">
        <f>3512+2</f>
        <v>3514</v>
      </c>
      <c r="Q551" s="3"/>
      <c r="R551" s="3"/>
      <c r="S551" s="6"/>
      <c r="T551" s="7"/>
      <c r="U551" s="7"/>
      <c r="V551" s="7"/>
      <c r="W551" s="7"/>
      <c r="X551" s="7"/>
      <c r="Y551" s="7"/>
      <c r="Z551" s="7"/>
      <c r="AA551" s="7"/>
      <c r="AB551" s="7"/>
      <c r="AC551" s="7"/>
      <c r="AD551" s="7"/>
      <c r="AE551" s="8"/>
      <c r="AF551" s="8"/>
      <c r="AG551" s="12"/>
    </row>
    <row r="552" spans="1:33" ht="19.7" customHeight="1" x14ac:dyDescent="0.25">
      <c r="A552" s="6">
        <v>43701</v>
      </c>
      <c r="B552" s="7">
        <f t="shared" ref="B552" si="698">IF(SUM(C552:J552)="","",SUM(C552:J552))</f>
        <v>27933</v>
      </c>
      <c r="C552" s="7">
        <f>27781+24</f>
        <v>27805</v>
      </c>
      <c r="D552" s="7">
        <v>68</v>
      </c>
      <c r="E552" s="7">
        <v>60</v>
      </c>
      <c r="F552" s="7">
        <v>0</v>
      </c>
      <c r="G552" s="7">
        <v>0</v>
      </c>
      <c r="H552" s="7">
        <v>0</v>
      </c>
      <c r="I552" s="7">
        <v>0</v>
      </c>
      <c r="J552" s="7">
        <v>0</v>
      </c>
      <c r="K552" s="7">
        <f t="shared" ref="K552:L552" si="699">IF(B552=0,"",B552-B500)</f>
        <v>-2421</v>
      </c>
      <c r="L552" s="7">
        <f t="shared" si="699"/>
        <v>-2371</v>
      </c>
      <c r="M552" s="8">
        <f t="shared" ref="M552:N552" si="700">IF(K552="","",B552/B500-1)</f>
        <v>-7.9758845621664354E-2</v>
      </c>
      <c r="N552" s="8">
        <f t="shared" si="700"/>
        <v>-7.8572375397667038E-2</v>
      </c>
      <c r="O552" s="12">
        <f>3534+1</f>
        <v>3535</v>
      </c>
      <c r="Q552" s="3"/>
      <c r="R552" s="3"/>
      <c r="S552" s="6"/>
      <c r="T552" s="7"/>
      <c r="U552" s="7"/>
      <c r="V552" s="7"/>
      <c r="W552" s="7"/>
      <c r="X552" s="7"/>
      <c r="Y552" s="7"/>
      <c r="Z552" s="7"/>
      <c r="AA552" s="7"/>
      <c r="AB552" s="7"/>
      <c r="AC552" s="7"/>
      <c r="AD552" s="7"/>
      <c r="AE552" s="8"/>
      <c r="AF552" s="8"/>
      <c r="AG552" s="12"/>
    </row>
    <row r="553" spans="1:33" ht="19.7" customHeight="1" x14ac:dyDescent="0.25">
      <c r="A553" s="6">
        <v>43708</v>
      </c>
      <c r="B553" s="7">
        <f t="shared" ref="B553" si="701">IF(SUM(C553:J553)="","",SUM(C553:J553))</f>
        <v>27387</v>
      </c>
      <c r="C553" s="7">
        <f>27251+12</f>
        <v>27263</v>
      </c>
      <c r="D553" s="7">
        <v>70</v>
      </c>
      <c r="E553" s="7">
        <v>54</v>
      </c>
      <c r="F553" s="7">
        <v>0</v>
      </c>
      <c r="G553" s="7">
        <v>0</v>
      </c>
      <c r="H553" s="7">
        <v>0</v>
      </c>
      <c r="I553" s="7">
        <v>0</v>
      </c>
      <c r="J553" s="7">
        <v>0</v>
      </c>
      <c r="K553" s="7">
        <f t="shared" ref="K553:L553" si="702">IF(B553=0,"",B553-B501)</f>
        <v>-1606</v>
      </c>
      <c r="L553" s="7">
        <f t="shared" si="702"/>
        <v>-1583</v>
      </c>
      <c r="M553" s="8">
        <f t="shared" ref="M553:N553" si="703">IF(K553="","",B553/B501-1)</f>
        <v>-5.5392680991963594E-2</v>
      </c>
      <c r="N553" s="8">
        <f t="shared" si="703"/>
        <v>-5.4877626014005365E-2</v>
      </c>
      <c r="O553" s="12">
        <f>3622+0</f>
        <v>3622</v>
      </c>
      <c r="Q553" s="3"/>
      <c r="R553" s="3"/>
      <c r="S553" s="6"/>
      <c r="T553" s="7"/>
      <c r="U553" s="7"/>
      <c r="V553" s="7"/>
      <c r="W553" s="7"/>
      <c r="X553" s="7"/>
      <c r="Y553" s="7"/>
      <c r="Z553" s="7"/>
      <c r="AA553" s="7"/>
      <c r="AB553" s="7"/>
      <c r="AC553" s="7"/>
      <c r="AD553" s="7"/>
      <c r="AE553" s="8"/>
      <c r="AF553" s="8"/>
      <c r="AG553" s="12"/>
    </row>
    <row r="554" spans="1:33" ht="19.7" customHeight="1" x14ac:dyDescent="0.25">
      <c r="A554" s="6">
        <v>43715</v>
      </c>
      <c r="B554" s="7">
        <f t="shared" ref="B554" si="704">IF(SUM(C554:J554)="","",SUM(C554:J554))</f>
        <v>26108</v>
      </c>
      <c r="C554" s="7">
        <f>25968+18</f>
        <v>25986</v>
      </c>
      <c r="D554" s="7">
        <v>66</v>
      </c>
      <c r="E554" s="7">
        <v>56</v>
      </c>
      <c r="F554" s="7">
        <v>0</v>
      </c>
      <c r="G554" s="7">
        <v>0</v>
      </c>
      <c r="H554" s="7">
        <v>0</v>
      </c>
      <c r="I554" s="7">
        <v>0</v>
      </c>
      <c r="J554" s="7">
        <v>0</v>
      </c>
      <c r="K554" s="7">
        <f t="shared" ref="K554:L554" si="705">IF(B554=0,"",B554-B502)</f>
        <v>-1759</v>
      </c>
      <c r="L554" s="7">
        <f t="shared" si="705"/>
        <v>-1725</v>
      </c>
      <c r="M554" s="8">
        <f t="shared" ref="M554:N554" si="706">IF(K554="","",B554/B502-1)</f>
        <v>-6.3121254530448145E-2</v>
      </c>
      <c r="N554" s="8">
        <f t="shared" si="706"/>
        <v>-6.2249648154162562E-2</v>
      </c>
      <c r="O554" s="12">
        <f>3329+7</f>
        <v>3336</v>
      </c>
      <c r="Q554" s="3"/>
      <c r="R554" s="3"/>
      <c r="S554" s="6"/>
      <c r="T554" s="7"/>
      <c r="U554" s="7"/>
      <c r="V554" s="7"/>
      <c r="W554" s="7"/>
      <c r="X554" s="7"/>
      <c r="Y554" s="7"/>
      <c r="Z554" s="7"/>
      <c r="AA554" s="7"/>
      <c r="AB554" s="7"/>
      <c r="AC554" s="7"/>
      <c r="AD554" s="7"/>
      <c r="AE554" s="8"/>
      <c r="AF554" s="8"/>
      <c r="AG554" s="12"/>
    </row>
    <row r="555" spans="1:33" ht="19.7" customHeight="1" x14ac:dyDescent="0.25">
      <c r="A555" s="6">
        <v>43722</v>
      </c>
      <c r="B555" s="7">
        <f t="shared" ref="B555" si="707">IF(SUM(C555:J555)="","",SUM(C555:J555))</f>
        <v>25540</v>
      </c>
      <c r="C555" s="7">
        <f>25417+10</f>
        <v>25427</v>
      </c>
      <c r="D555" s="7">
        <v>64</v>
      </c>
      <c r="E555" s="7">
        <v>49</v>
      </c>
      <c r="F555" s="7">
        <v>0</v>
      </c>
      <c r="G555" s="7">
        <v>0</v>
      </c>
      <c r="H555" s="7">
        <v>0</v>
      </c>
      <c r="I555" s="7">
        <v>0</v>
      </c>
      <c r="J555" s="7">
        <v>0</v>
      </c>
      <c r="K555" s="7">
        <f t="shared" ref="K555:L555" si="708">IF(B555=0,"",B555-B503)</f>
        <v>-1236</v>
      </c>
      <c r="L555" s="7">
        <f t="shared" si="708"/>
        <v>-1197</v>
      </c>
      <c r="M555" s="8">
        <f t="shared" ref="M555:N555" si="709">IF(K555="","",B555/B503-1)</f>
        <v>-4.616074096205558E-2</v>
      </c>
      <c r="N555" s="8">
        <f t="shared" si="709"/>
        <v>-4.4959435096153855E-2</v>
      </c>
      <c r="O555" s="12">
        <f>3643+0</f>
        <v>3643</v>
      </c>
      <c r="Q555" s="3"/>
      <c r="R555" s="3"/>
      <c r="S555" s="6"/>
      <c r="T555" s="7"/>
      <c r="U555" s="7"/>
      <c r="V555" s="7"/>
      <c r="W555" s="7"/>
      <c r="X555" s="7"/>
      <c r="Y555" s="7"/>
      <c r="Z555" s="7"/>
      <c r="AA555" s="7"/>
      <c r="AB555" s="7"/>
      <c r="AC555" s="7"/>
      <c r="AD555" s="7"/>
      <c r="AE555" s="8"/>
      <c r="AF555" s="8"/>
      <c r="AG555" s="12"/>
    </row>
    <row r="556" spans="1:33" ht="19.7" customHeight="1" x14ac:dyDescent="0.25">
      <c r="A556" s="6">
        <v>43729</v>
      </c>
      <c r="B556" s="7">
        <f t="shared" ref="B556" si="710">IF(SUM(C556:J556)="","",SUM(C556:J556))</f>
        <v>24482</v>
      </c>
      <c r="C556" s="7">
        <f>24347+15</f>
        <v>24362</v>
      </c>
      <c r="D556" s="7">
        <v>62</v>
      </c>
      <c r="E556" s="7">
        <v>58</v>
      </c>
      <c r="F556" s="7">
        <v>0</v>
      </c>
      <c r="G556" s="7">
        <v>0</v>
      </c>
      <c r="H556" s="7">
        <v>0</v>
      </c>
      <c r="I556" s="7">
        <v>0</v>
      </c>
      <c r="J556" s="7">
        <v>0</v>
      </c>
      <c r="K556" s="7">
        <f t="shared" ref="K556:L556" si="711">IF(B556=0,"",B556-B504)</f>
        <v>-1701</v>
      </c>
      <c r="L556" s="7">
        <f t="shared" si="711"/>
        <v>-1673</v>
      </c>
      <c r="M556" s="8">
        <f t="shared" ref="M556:N556" si="712">IF(K556="","",B556/B504-1)</f>
        <v>-6.4965817515181601E-2</v>
      </c>
      <c r="N556" s="8">
        <f t="shared" si="712"/>
        <v>-6.4259650470520402E-2</v>
      </c>
      <c r="O556" s="12">
        <f>3681+0</f>
        <v>3681</v>
      </c>
      <c r="Q556" s="3"/>
      <c r="R556" s="3"/>
      <c r="S556" s="6"/>
      <c r="T556" s="7"/>
      <c r="U556" s="7"/>
      <c r="V556" s="7"/>
      <c r="W556" s="7"/>
      <c r="X556" s="7"/>
      <c r="Y556" s="7"/>
      <c r="Z556" s="7"/>
      <c r="AA556" s="7"/>
      <c r="AB556" s="7"/>
      <c r="AC556" s="7"/>
      <c r="AD556" s="7"/>
      <c r="AE556" s="8"/>
      <c r="AF556" s="8"/>
      <c r="AG556" s="12"/>
    </row>
    <row r="557" spans="1:33" ht="19.7" customHeight="1" x14ac:dyDescent="0.25">
      <c r="A557" s="6">
        <v>43736</v>
      </c>
      <c r="B557" s="7">
        <f t="shared" ref="B557" si="713">IF(SUM(C557:J557)="","",SUM(C557:J557))</f>
        <v>23737</v>
      </c>
      <c r="C557" s="7">
        <f>23602+9</f>
        <v>23611</v>
      </c>
      <c r="D557" s="7">
        <v>74</v>
      </c>
      <c r="E557" s="7">
        <v>52</v>
      </c>
      <c r="F557" s="7">
        <v>0</v>
      </c>
      <c r="G557" s="7">
        <v>0</v>
      </c>
      <c r="H557" s="7">
        <v>0</v>
      </c>
      <c r="I557" s="7">
        <v>0</v>
      </c>
      <c r="J557" s="7">
        <v>0</v>
      </c>
      <c r="K557" s="7">
        <f t="shared" ref="K557:L557" si="714">IF(B557=0,"",B557-B505)</f>
        <v>-1614</v>
      </c>
      <c r="L557" s="7">
        <f t="shared" si="714"/>
        <v>-1601</v>
      </c>
      <c r="M557" s="8">
        <f t="shared" ref="M557:N557" si="715">IF(K557="","",B557/B505-1)</f>
        <v>-6.3666127568932196E-2</v>
      </c>
      <c r="N557" s="8">
        <f t="shared" si="715"/>
        <v>-6.350150721878467E-2</v>
      </c>
      <c r="O557" s="12">
        <f>3734+23</f>
        <v>3757</v>
      </c>
      <c r="Q557" s="3"/>
      <c r="R557" s="3"/>
      <c r="S557" s="6"/>
      <c r="T557" s="7"/>
      <c r="U557" s="7"/>
      <c r="V557" s="7"/>
      <c r="W557" s="7"/>
      <c r="X557" s="7"/>
      <c r="Y557" s="7"/>
      <c r="Z557" s="7"/>
      <c r="AA557" s="7"/>
      <c r="AB557" s="7"/>
      <c r="AC557" s="7"/>
      <c r="AD557" s="7"/>
      <c r="AE557" s="8"/>
      <c r="AF557" s="8"/>
      <c r="AG557" s="12"/>
    </row>
    <row r="558" spans="1:33" ht="19.7" customHeight="1" x14ac:dyDescent="0.25">
      <c r="A558" s="6">
        <v>43743</v>
      </c>
      <c r="B558" s="7">
        <f t="shared" ref="B558" si="716">IF(SUM(C558:J558)="","",SUM(C558:J558))</f>
        <v>23402</v>
      </c>
      <c r="C558" s="7">
        <f>23270+14</f>
        <v>23284</v>
      </c>
      <c r="D558" s="7">
        <v>76</v>
      </c>
      <c r="E558" s="7">
        <v>42</v>
      </c>
      <c r="F558" s="7">
        <v>0</v>
      </c>
      <c r="G558" s="7">
        <v>0</v>
      </c>
      <c r="H558" s="7">
        <v>0</v>
      </c>
      <c r="I558" s="7">
        <v>0</v>
      </c>
      <c r="J558" s="7">
        <v>0</v>
      </c>
      <c r="K558" s="7">
        <f t="shared" ref="K558:L558" si="717">IF(B558=0,"",B558-B506)</f>
        <v>-1203</v>
      </c>
      <c r="L558" s="7">
        <f t="shared" si="717"/>
        <v>-1175</v>
      </c>
      <c r="M558" s="8">
        <f t="shared" ref="M558:N558" si="718">IF(K558="","",B558/B506-1)</f>
        <v>-4.8892501524080423E-2</v>
      </c>
      <c r="N558" s="8">
        <f t="shared" si="718"/>
        <v>-4.8039576434032449E-2</v>
      </c>
      <c r="O558" s="12">
        <f>3764+11</f>
        <v>3775</v>
      </c>
      <c r="Q558" s="3"/>
      <c r="R558" s="3"/>
      <c r="S558" s="6"/>
      <c r="T558" s="7"/>
      <c r="U558" s="7"/>
      <c r="V558" s="7"/>
      <c r="W558" s="7"/>
      <c r="X558" s="7"/>
      <c r="Y558" s="7"/>
      <c r="Z558" s="7"/>
      <c r="AA558" s="7"/>
      <c r="AB558" s="7"/>
      <c r="AC558" s="7"/>
      <c r="AD558" s="7"/>
      <c r="AE558" s="8"/>
      <c r="AF558" s="8"/>
      <c r="AG558" s="12"/>
    </row>
    <row r="559" spans="1:33" ht="19.7" customHeight="1" x14ac:dyDescent="0.25">
      <c r="A559" s="6">
        <v>43750</v>
      </c>
      <c r="B559" s="7">
        <f t="shared" ref="B559" si="719">IF(SUM(C559:J559)="","",SUM(C559:J559))</f>
        <v>22433</v>
      </c>
      <c r="C559" s="7">
        <f>22279+12</f>
        <v>22291</v>
      </c>
      <c r="D559" s="7">
        <v>94</v>
      </c>
      <c r="E559" s="7">
        <v>48</v>
      </c>
      <c r="F559" s="7">
        <v>0</v>
      </c>
      <c r="G559" s="7">
        <v>0</v>
      </c>
      <c r="H559" s="7">
        <v>0</v>
      </c>
      <c r="I559" s="7">
        <v>0</v>
      </c>
      <c r="J559" s="7">
        <v>0</v>
      </c>
      <c r="K559" s="7">
        <f t="shared" ref="K559:L559" si="720">IF(B559=0,"",B559-B507)</f>
        <v>-1475</v>
      </c>
      <c r="L559" s="7">
        <f t="shared" si="720"/>
        <v>-1476</v>
      </c>
      <c r="M559" s="8">
        <f t="shared" ref="M559:N559" si="721">IF(K559="","",B559/B507-1)</f>
        <v>-6.1694830182365767E-2</v>
      </c>
      <c r="N559" s="8">
        <f t="shared" si="721"/>
        <v>-6.2102915807632386E-2</v>
      </c>
      <c r="O559" s="12">
        <f>3916+0</f>
        <v>3916</v>
      </c>
      <c r="Q559" s="3"/>
      <c r="R559" s="3"/>
      <c r="S559" s="6"/>
      <c r="T559" s="7"/>
      <c r="U559" s="7"/>
      <c r="V559" s="7"/>
      <c r="W559" s="7"/>
      <c r="X559" s="7"/>
      <c r="Y559" s="7"/>
      <c r="Z559" s="7"/>
      <c r="AA559" s="7"/>
      <c r="AB559" s="7"/>
      <c r="AC559" s="7"/>
      <c r="AD559" s="7"/>
      <c r="AE559" s="8"/>
      <c r="AF559" s="8"/>
      <c r="AG559" s="12"/>
    </row>
    <row r="560" spans="1:33" ht="19.7" customHeight="1" x14ac:dyDescent="0.25">
      <c r="A560" s="6">
        <v>43757</v>
      </c>
      <c r="B560" s="7">
        <f t="shared" ref="B560" si="722">IF(SUM(C560:J560)="","",SUM(C560:J560))</f>
        <v>22038</v>
      </c>
      <c r="C560" s="7">
        <f>21884+27</f>
        <v>21911</v>
      </c>
      <c r="D560" s="7">
        <v>86</v>
      </c>
      <c r="E560" s="7">
        <v>41</v>
      </c>
      <c r="F560" s="7">
        <v>0</v>
      </c>
      <c r="G560" s="7">
        <v>0</v>
      </c>
      <c r="H560" s="7">
        <v>0</v>
      </c>
      <c r="I560" s="7">
        <v>0</v>
      </c>
      <c r="J560" s="7">
        <v>0</v>
      </c>
      <c r="K560" s="7">
        <f t="shared" ref="K560:L560" si="723">IF(B560=0,"",B560-B508)</f>
        <v>-1747</v>
      </c>
      <c r="L560" s="7">
        <f t="shared" si="723"/>
        <v>-1705</v>
      </c>
      <c r="M560" s="8">
        <f t="shared" ref="M560:N560" si="724">IF(K560="","",B560/B508-1)</f>
        <v>-7.3449653142736993E-2</v>
      </c>
      <c r="N560" s="8">
        <f t="shared" si="724"/>
        <v>-7.219681571815717E-2</v>
      </c>
      <c r="O560" s="12">
        <f>3509+1</f>
        <v>3510</v>
      </c>
      <c r="Q560" s="3"/>
      <c r="R560" s="3"/>
      <c r="S560" s="6"/>
      <c r="T560" s="7"/>
      <c r="U560" s="7"/>
      <c r="V560" s="7"/>
      <c r="W560" s="7"/>
      <c r="X560" s="7"/>
      <c r="Y560" s="7"/>
      <c r="Z560" s="7"/>
      <c r="AA560" s="7"/>
      <c r="AB560" s="7"/>
      <c r="AC560" s="7"/>
      <c r="AD560" s="7"/>
      <c r="AE560" s="8"/>
      <c r="AF560" s="8"/>
      <c r="AG560" s="12"/>
    </row>
    <row r="561" spans="1:33" ht="19.7" customHeight="1" x14ac:dyDescent="0.25">
      <c r="A561" s="6">
        <v>43764</v>
      </c>
      <c r="B561" s="7">
        <f t="shared" ref="B561" si="725">IF(SUM(C561:J561)="","",SUM(C561:J561))</f>
        <v>21673</v>
      </c>
      <c r="C561" s="7">
        <f>21515+5</f>
        <v>21520</v>
      </c>
      <c r="D561" s="7">
        <v>107</v>
      </c>
      <c r="E561" s="7">
        <v>46</v>
      </c>
      <c r="F561" s="7">
        <v>0</v>
      </c>
      <c r="G561" s="7">
        <v>0</v>
      </c>
      <c r="H561" s="7">
        <v>0</v>
      </c>
      <c r="I561" s="7">
        <v>0</v>
      </c>
      <c r="J561" s="7">
        <v>0</v>
      </c>
      <c r="K561" s="7">
        <f t="shared" ref="K561:L561" si="726">IF(B561=0,"",B561-B509)</f>
        <v>-1188</v>
      </c>
      <c r="L561" s="7">
        <f t="shared" si="726"/>
        <v>-1159</v>
      </c>
      <c r="M561" s="8">
        <f t="shared" ref="M561:N561" si="727">IF(K561="","",B561/B509-1)</f>
        <v>-5.1966230698569649E-2</v>
      </c>
      <c r="N561" s="8">
        <f t="shared" si="727"/>
        <v>-5.1104546055822597E-2</v>
      </c>
      <c r="O561" s="12">
        <f>3879+1</f>
        <v>3880</v>
      </c>
      <c r="Q561" s="3"/>
      <c r="R561" s="3"/>
      <c r="S561" s="6"/>
      <c r="T561" s="7"/>
      <c r="U561" s="7"/>
      <c r="V561" s="7"/>
      <c r="W561" s="7"/>
      <c r="X561" s="7"/>
      <c r="Y561" s="7"/>
      <c r="Z561" s="7"/>
      <c r="AA561" s="7"/>
      <c r="AB561" s="7"/>
      <c r="AC561" s="7"/>
      <c r="AD561" s="7"/>
      <c r="AE561" s="8"/>
      <c r="AF561" s="8"/>
      <c r="AG561" s="12"/>
    </row>
    <row r="562" spans="1:33" ht="19.7" customHeight="1" x14ac:dyDescent="0.25">
      <c r="A562" s="6">
        <v>43771</v>
      </c>
      <c r="B562" s="7">
        <f t="shared" ref="B562" si="728">IF(SUM(C562:J562)="","",SUM(C562:J562))</f>
        <v>21015</v>
      </c>
      <c r="C562" s="7">
        <f>20839+26</f>
        <v>20865</v>
      </c>
      <c r="D562" s="7">
        <v>111</v>
      </c>
      <c r="E562" s="7">
        <v>39</v>
      </c>
      <c r="F562" s="7">
        <v>0</v>
      </c>
      <c r="G562" s="7">
        <v>0</v>
      </c>
      <c r="H562" s="7">
        <v>0</v>
      </c>
      <c r="I562" s="7">
        <v>0</v>
      </c>
      <c r="J562" s="7">
        <v>0</v>
      </c>
      <c r="K562" s="7">
        <f t="shared" ref="K562" si="729">IF(B562=0,"",B562-B510)</f>
        <v>-1296</v>
      </c>
      <c r="L562" s="7">
        <f t="shared" ref="L562" si="730">IF(C562=0,"",C562-C510)</f>
        <v>-1236</v>
      </c>
      <c r="M562" s="8">
        <f t="shared" ref="M562" si="731">IF(K562="","",B562/B510-1)</f>
        <v>-5.8087938684953655E-2</v>
      </c>
      <c r="N562" s="8">
        <f t="shared" ref="N562" si="732">IF(L562="","",C562/C510-1)</f>
        <v>-5.5925071263743686E-2</v>
      </c>
      <c r="O562" s="12">
        <f>3959+7</f>
        <v>3966</v>
      </c>
      <c r="Q562" s="3"/>
      <c r="R562" s="3"/>
      <c r="S562" s="6"/>
      <c r="T562" s="7"/>
      <c r="U562" s="7"/>
      <c r="V562" s="7"/>
      <c r="W562" s="7"/>
      <c r="X562" s="7"/>
      <c r="Y562" s="7"/>
      <c r="Z562" s="7"/>
      <c r="AA562" s="7"/>
      <c r="AB562" s="7"/>
      <c r="AC562" s="7"/>
      <c r="AD562" s="7"/>
      <c r="AE562" s="8"/>
      <c r="AF562" s="8"/>
      <c r="AG562" s="12"/>
    </row>
    <row r="563" spans="1:33" ht="19.7" customHeight="1" x14ac:dyDescent="0.25">
      <c r="A563" s="6">
        <v>43778</v>
      </c>
      <c r="B563" s="7">
        <f t="shared" ref="B563" si="733">IF(SUM(C563:J563)="","",SUM(C563:J563))</f>
        <v>20836</v>
      </c>
      <c r="C563" s="7">
        <f>20669+4</f>
        <v>20673</v>
      </c>
      <c r="D563" s="7">
        <v>120</v>
      </c>
      <c r="E563" s="7">
        <v>43</v>
      </c>
      <c r="F563" s="7">
        <v>0</v>
      </c>
      <c r="G563" s="7">
        <v>0</v>
      </c>
      <c r="H563" s="7">
        <v>0</v>
      </c>
      <c r="I563" s="7">
        <v>0</v>
      </c>
      <c r="J563" s="7">
        <v>0</v>
      </c>
      <c r="K563" s="7">
        <f t="shared" ref="K563" si="734">IF(B563=0,"",B563-B511)</f>
        <v>-1078</v>
      </c>
      <c r="L563" s="7">
        <f t="shared" ref="L563" si="735">IF(C563=0,"",C563-C511)</f>
        <v>-1042</v>
      </c>
      <c r="M563" s="8">
        <f t="shared" ref="M563" si="736">IF(K563="","",B563/B511-1)</f>
        <v>-4.919229716163187E-2</v>
      </c>
      <c r="N563" s="8">
        <f t="shared" ref="N563" si="737">IF(L563="","",C563/C511-1)</f>
        <v>-4.7985263642643328E-2</v>
      </c>
      <c r="O563" s="12">
        <f>3950+2</f>
        <v>3952</v>
      </c>
      <c r="Q563" s="3"/>
      <c r="R563" s="3"/>
      <c r="S563" s="6"/>
      <c r="T563" s="7"/>
      <c r="U563" s="7"/>
      <c r="V563" s="7"/>
      <c r="W563" s="7"/>
      <c r="X563" s="7"/>
      <c r="Y563" s="7"/>
      <c r="Z563" s="7"/>
      <c r="AA563" s="7"/>
      <c r="AB563" s="7"/>
      <c r="AC563" s="7"/>
      <c r="AD563" s="7"/>
      <c r="AE563" s="8"/>
      <c r="AF563" s="8"/>
      <c r="AG563" s="12"/>
    </row>
    <row r="564" spans="1:33" ht="19.7" customHeight="1" x14ac:dyDescent="0.25">
      <c r="A564" s="6">
        <v>43785</v>
      </c>
      <c r="B564" s="7">
        <f t="shared" ref="B564" si="738">IF(SUM(C564:J564)="","",SUM(C564:J564))</f>
        <v>20623</v>
      </c>
      <c r="C564" s="7">
        <f>20484+5</f>
        <v>20489</v>
      </c>
      <c r="D564" s="7">
        <v>85</v>
      </c>
      <c r="E564" s="7">
        <v>49</v>
      </c>
      <c r="F564" s="7">
        <v>0</v>
      </c>
      <c r="G564" s="7">
        <v>0</v>
      </c>
      <c r="H564" s="7">
        <v>0</v>
      </c>
      <c r="I564" s="7">
        <v>0</v>
      </c>
      <c r="J564" s="7">
        <v>0</v>
      </c>
      <c r="K564" s="7">
        <f t="shared" ref="K564" si="739">IF(B564=0,"",B564-B512)</f>
        <v>-468</v>
      </c>
      <c r="L564" s="7">
        <f t="shared" ref="L564" si="740">IF(C564=0,"",C564-C512)</f>
        <v>-384</v>
      </c>
      <c r="M564" s="8">
        <f t="shared" ref="M564" si="741">IF(K564="","",B564/B512-1)</f>
        <v>-2.2189559527760694E-2</v>
      </c>
      <c r="N564" s="8">
        <f t="shared" ref="N564" si="742">IF(L564="","",C564/C512-1)</f>
        <v>-1.8396972164997805E-2</v>
      </c>
      <c r="O564" s="12">
        <f>3699+2</f>
        <v>3701</v>
      </c>
      <c r="Q564" s="3"/>
      <c r="R564" s="3"/>
      <c r="S564" s="6"/>
      <c r="T564" s="7"/>
      <c r="U564" s="7"/>
      <c r="V564" s="7"/>
      <c r="W564" s="7"/>
      <c r="X564" s="7"/>
      <c r="Y564" s="7"/>
      <c r="Z564" s="7"/>
      <c r="AA564" s="7"/>
      <c r="AB564" s="7"/>
      <c r="AC564" s="7"/>
      <c r="AD564" s="7"/>
      <c r="AE564" s="8"/>
      <c r="AF564" s="8"/>
      <c r="AG564" s="12"/>
    </row>
    <row r="565" spans="1:33" ht="19.7" customHeight="1" x14ac:dyDescent="0.25">
      <c r="A565" s="6">
        <v>43792</v>
      </c>
      <c r="B565" s="7">
        <f t="shared" ref="B565" si="743">IF(SUM(C565:J565)="","",SUM(C565:J565))</f>
        <v>19344</v>
      </c>
      <c r="C565" s="7">
        <f>19161+6</f>
        <v>19167</v>
      </c>
      <c r="D565" s="7">
        <v>135</v>
      </c>
      <c r="E565" s="7">
        <v>42</v>
      </c>
      <c r="F565" s="7">
        <v>0</v>
      </c>
      <c r="G565" s="7">
        <v>0</v>
      </c>
      <c r="H565" s="7">
        <v>0</v>
      </c>
      <c r="I565" s="7">
        <v>0</v>
      </c>
      <c r="J565" s="7">
        <v>0</v>
      </c>
      <c r="K565" s="7">
        <f t="shared" ref="K565" si="744">IF(B565=0,"",B565-B513)</f>
        <v>-318</v>
      </c>
      <c r="L565" s="7">
        <f t="shared" ref="L565" si="745">IF(C565=0,"",C565-C513)</f>
        <v>-277</v>
      </c>
      <c r="M565" s="8">
        <f t="shared" ref="M565" si="746">IF(K565="","",B565/B513-1)</f>
        <v>-1.6173329264571268E-2</v>
      </c>
      <c r="N565" s="8">
        <f t="shared" ref="N565" si="747">IF(L565="","",C565/C513-1)</f>
        <v>-1.4246039909483699E-2</v>
      </c>
      <c r="O565" s="12">
        <f>3726+4</f>
        <v>3730</v>
      </c>
      <c r="Q565" s="3"/>
      <c r="R565" s="3"/>
      <c r="S565" s="6"/>
      <c r="T565" s="7"/>
      <c r="U565" s="7"/>
      <c r="V565" s="7"/>
      <c r="W565" s="7"/>
      <c r="X565" s="7"/>
      <c r="Y565" s="7"/>
      <c r="Z565" s="7"/>
      <c r="AA565" s="7"/>
      <c r="AB565" s="7"/>
      <c r="AC565" s="7"/>
      <c r="AD565" s="7"/>
      <c r="AE565" s="8"/>
      <c r="AF565" s="8"/>
      <c r="AG565" s="12"/>
    </row>
    <row r="566" spans="1:33" ht="19.7" customHeight="1" x14ac:dyDescent="0.25">
      <c r="A566" s="6">
        <v>43799</v>
      </c>
      <c r="B566" s="7">
        <f t="shared" ref="B566" si="748">IF(SUM(C566:J566)="","",SUM(C566:J566))</f>
        <v>17561</v>
      </c>
      <c r="C566" s="7">
        <f>17335+37</f>
        <v>17372</v>
      </c>
      <c r="D566" s="7">
        <v>156</v>
      </c>
      <c r="E566" s="7">
        <v>33</v>
      </c>
      <c r="F566" s="7">
        <v>0</v>
      </c>
      <c r="G566" s="7">
        <v>0</v>
      </c>
      <c r="H566" s="7">
        <v>0</v>
      </c>
      <c r="I566" s="7">
        <v>0</v>
      </c>
      <c r="J566" s="7">
        <v>0</v>
      </c>
      <c r="K566" s="7">
        <f t="shared" ref="K566" si="749">IF(B566=0,"",B566-B514)</f>
        <v>-2787</v>
      </c>
      <c r="L566" s="7">
        <f t="shared" ref="L566" si="750">IF(C566=0,"",C566-C514)</f>
        <v>-2735</v>
      </c>
      <c r="M566" s="8">
        <f t="shared" ref="M566" si="751">IF(K566="","",B566/B514-1)</f>
        <v>-0.13696677806172597</v>
      </c>
      <c r="N566" s="8">
        <f t="shared" ref="N566" si="752">IF(L566="","",C566/C514-1)</f>
        <v>-0.13602228079773215</v>
      </c>
      <c r="O566" s="12">
        <f>2522+5</f>
        <v>2527</v>
      </c>
      <c r="Q566" s="3"/>
      <c r="R566" s="3"/>
      <c r="S566" s="6"/>
      <c r="T566" s="7"/>
      <c r="U566" s="7"/>
      <c r="V566" s="7"/>
      <c r="W566" s="7"/>
      <c r="X566" s="7"/>
      <c r="Y566" s="7"/>
      <c r="Z566" s="7"/>
      <c r="AA566" s="7"/>
      <c r="AB566" s="7"/>
      <c r="AC566" s="7"/>
      <c r="AD566" s="7"/>
      <c r="AE566" s="8"/>
      <c r="AF566" s="8"/>
      <c r="AG566" s="12"/>
    </row>
    <row r="567" spans="1:33" ht="19.7" customHeight="1" x14ac:dyDescent="0.25">
      <c r="A567" s="6">
        <v>43806</v>
      </c>
      <c r="B567" s="7">
        <f t="shared" ref="B567" si="753">IF(SUM(C567:J567)="","",SUM(C567:J567))</f>
        <v>18722</v>
      </c>
      <c r="C567" s="7">
        <f>18510+16</f>
        <v>18526</v>
      </c>
      <c r="D567" s="7">
        <v>161</v>
      </c>
      <c r="E567" s="7">
        <v>35</v>
      </c>
      <c r="F567" s="7">
        <v>0</v>
      </c>
      <c r="G567" s="7">
        <v>0</v>
      </c>
      <c r="H567" s="7">
        <v>0</v>
      </c>
      <c r="I567" s="7">
        <v>0</v>
      </c>
      <c r="J567" s="7">
        <v>0</v>
      </c>
      <c r="K567" s="7">
        <f t="shared" ref="K567" si="754">IF(B567=0,"",B567-B515)</f>
        <v>-673</v>
      </c>
      <c r="L567" s="7">
        <f t="shared" ref="L567" si="755">IF(C567=0,"",C567-C515)</f>
        <v>-617</v>
      </c>
      <c r="M567" s="8">
        <f t="shared" ref="M567" si="756">IF(K567="","",B567/B515-1)</f>
        <v>-3.4699664862077872E-2</v>
      </c>
      <c r="N567" s="8">
        <f t="shared" ref="N567" si="757">IF(L567="","",C567/C515-1)</f>
        <v>-3.223110275296448E-2</v>
      </c>
      <c r="O567" s="12">
        <f>4108+5</f>
        <v>4113</v>
      </c>
      <c r="Q567" s="3"/>
      <c r="R567" s="3"/>
      <c r="S567" s="6"/>
      <c r="T567" s="7"/>
      <c r="U567" s="7"/>
      <c r="V567" s="7"/>
      <c r="W567" s="7"/>
      <c r="X567" s="7"/>
      <c r="Y567" s="7"/>
      <c r="Z567" s="7"/>
      <c r="AA567" s="7"/>
      <c r="AB567" s="7"/>
      <c r="AC567" s="7"/>
      <c r="AD567" s="7"/>
      <c r="AE567" s="8"/>
      <c r="AF567" s="8"/>
      <c r="AG567" s="12"/>
    </row>
    <row r="568" spans="1:33" ht="19.7" customHeight="1" x14ac:dyDescent="0.25">
      <c r="A568" s="6">
        <v>43813</v>
      </c>
      <c r="B568" s="7">
        <f t="shared" ref="B568" si="758">IF(SUM(C568:J568)="","",SUM(C568:J568))</f>
        <v>17644</v>
      </c>
      <c r="C568" s="7">
        <f>17404+32</f>
        <v>17436</v>
      </c>
      <c r="D568" s="7">
        <v>176</v>
      </c>
      <c r="E568" s="7">
        <v>32</v>
      </c>
      <c r="F568" s="7">
        <v>0</v>
      </c>
      <c r="G568" s="7">
        <v>0</v>
      </c>
      <c r="H568" s="7">
        <v>0</v>
      </c>
      <c r="I568" s="7">
        <v>0</v>
      </c>
      <c r="J568" s="7">
        <v>0</v>
      </c>
      <c r="K568" s="7">
        <f t="shared" ref="K568" si="759">IF(B568=0,"",B568-B516)</f>
        <v>-1905</v>
      </c>
      <c r="L568" s="7">
        <f t="shared" ref="L568" si="760">IF(C568=0,"",C568-C516)</f>
        <v>-1859</v>
      </c>
      <c r="M568" s="8">
        <f t="shared" ref="M568" si="761">IF(K568="","",B568/B516-1)</f>
        <v>-9.7447439766739974E-2</v>
      </c>
      <c r="N568" s="8">
        <f t="shared" ref="N568" si="762">IF(L568="","",C568/C516-1)</f>
        <v>-9.6346203679709808E-2</v>
      </c>
      <c r="O568" s="12">
        <f>3294+2</f>
        <v>3296</v>
      </c>
      <c r="Q568" s="3"/>
      <c r="R568" s="3"/>
      <c r="S568" s="6"/>
      <c r="T568" s="7"/>
      <c r="U568" s="7"/>
      <c r="V568" s="7"/>
      <c r="W568" s="7"/>
      <c r="X568" s="7"/>
      <c r="Y568" s="7"/>
      <c r="Z568" s="7"/>
      <c r="AA568" s="7"/>
      <c r="AB568" s="7"/>
      <c r="AC568" s="7"/>
      <c r="AD568" s="7"/>
      <c r="AE568" s="8"/>
      <c r="AF568" s="8"/>
      <c r="AG568" s="12"/>
    </row>
    <row r="569" spans="1:33" ht="19.7" customHeight="1" x14ac:dyDescent="0.25">
      <c r="A569" s="6">
        <v>43820</v>
      </c>
      <c r="B569" s="7">
        <f t="shared" ref="B569" si="763">IF(SUM(C569:J569)="","",SUM(C569:J569))</f>
        <v>17723</v>
      </c>
      <c r="C569" s="7">
        <f>17476+43</f>
        <v>17519</v>
      </c>
      <c r="D569" s="7">
        <v>178</v>
      </c>
      <c r="E569" s="7">
        <v>26</v>
      </c>
      <c r="F569" s="7">
        <v>0</v>
      </c>
      <c r="G569" s="7">
        <v>0</v>
      </c>
      <c r="H569" s="7">
        <v>0</v>
      </c>
      <c r="I569" s="7">
        <v>0</v>
      </c>
      <c r="J569" s="7">
        <v>0</v>
      </c>
      <c r="K569" s="7">
        <f t="shared" ref="K569" si="764">IF(B569=0,"",B569-B517)</f>
        <v>-1663</v>
      </c>
      <c r="L569" s="7">
        <f t="shared" ref="L569" si="765">IF(C569=0,"",C569-C517)</f>
        <v>-1599</v>
      </c>
      <c r="M569" s="8">
        <f t="shared" ref="M569" si="766">IF(K569="","",B569/B517-1)</f>
        <v>-8.5783555142886603E-2</v>
      </c>
      <c r="N569" s="8">
        <f t="shared" ref="N569" si="767">IF(L569="","",C569/C517-1)</f>
        <v>-8.3638455905429399E-2</v>
      </c>
      <c r="O569" s="12">
        <f>3290+4</f>
        <v>3294</v>
      </c>
      <c r="Q569" s="3"/>
      <c r="R569" s="3"/>
      <c r="S569" s="6"/>
      <c r="T569" s="7"/>
      <c r="U569" s="7"/>
      <c r="V569" s="7"/>
      <c r="W569" s="7"/>
      <c r="X569" s="7"/>
      <c r="Y569" s="7"/>
      <c r="Z569" s="7"/>
      <c r="AA569" s="7"/>
      <c r="AB569" s="7"/>
      <c r="AC569" s="7"/>
      <c r="AD569" s="7"/>
      <c r="AE569" s="8"/>
      <c r="AF569" s="8"/>
      <c r="AG569" s="12"/>
    </row>
    <row r="570" spans="1:33" ht="19.7" customHeight="1" x14ac:dyDescent="0.25">
      <c r="A570" s="6">
        <v>43827</v>
      </c>
      <c r="B570" s="7">
        <f t="shared" ref="B570" si="768">IF(SUM(C570:J570)="","",SUM(C570:J570))</f>
        <v>17729</v>
      </c>
      <c r="C570" s="7">
        <f>17497+11</f>
        <v>17508</v>
      </c>
      <c r="D570" s="7">
        <v>192</v>
      </c>
      <c r="E570" s="7">
        <v>29</v>
      </c>
      <c r="F570" s="7">
        <v>0</v>
      </c>
      <c r="G570" s="7">
        <v>0</v>
      </c>
      <c r="H570" s="7">
        <v>0</v>
      </c>
      <c r="I570" s="7">
        <v>0</v>
      </c>
      <c r="J570" s="7">
        <v>0</v>
      </c>
      <c r="K570" s="7">
        <f t="shared" ref="K570" si="769">IF(B570=0,"",B570-B518)</f>
        <v>-1317</v>
      </c>
      <c r="L570" s="7">
        <f t="shared" ref="L570" si="770">IF(C570=0,"",C570-C518)</f>
        <v>-1264</v>
      </c>
      <c r="M570" s="8">
        <f t="shared" ref="M570" si="771">IF(K570="","",B570/B518-1)</f>
        <v>-6.9148377612097023E-2</v>
      </c>
      <c r="N570" s="8">
        <f t="shared" ref="N570" si="772">IF(L570="","",C570/C518-1)</f>
        <v>-6.733432772213932E-2</v>
      </c>
      <c r="O570" s="12">
        <f>2154+1</f>
        <v>2155</v>
      </c>
      <c r="Q570" s="3"/>
      <c r="R570" s="3"/>
      <c r="S570" s="6"/>
      <c r="T570" s="7"/>
      <c r="U570" s="7"/>
      <c r="V570" s="7"/>
      <c r="W570" s="7"/>
      <c r="X570" s="7"/>
      <c r="Y570" s="7"/>
      <c r="Z570" s="7"/>
      <c r="AA570" s="7"/>
      <c r="AB570" s="7"/>
      <c r="AC570" s="7"/>
      <c r="AD570" s="7"/>
      <c r="AE570" s="8"/>
      <c r="AF570" s="8"/>
      <c r="AG570" s="12"/>
    </row>
    <row r="571" spans="1:33" ht="19.7" customHeight="1" x14ac:dyDescent="0.25">
      <c r="A571" s="6">
        <v>43834</v>
      </c>
      <c r="B571" s="7">
        <f t="shared" ref="B571" si="773">IF(SUM(C571:J571)="","",SUM(C571:J571))</f>
        <v>18204</v>
      </c>
      <c r="C571" s="7">
        <f>17989+2</f>
        <v>17991</v>
      </c>
      <c r="D571" s="7">
        <v>190</v>
      </c>
      <c r="E571" s="7">
        <v>23</v>
      </c>
      <c r="F571" s="7">
        <v>0</v>
      </c>
      <c r="G571" s="7">
        <v>0</v>
      </c>
      <c r="H571" s="7">
        <v>0</v>
      </c>
      <c r="I571" s="7">
        <v>0</v>
      </c>
      <c r="J571" s="7">
        <v>0</v>
      </c>
      <c r="K571" s="7">
        <f t="shared" ref="K571" si="774">IF(B571=0,"",B571-B519)</f>
        <v>-1351</v>
      </c>
      <c r="L571" s="7">
        <f t="shared" ref="L571" si="775">IF(C571=0,"",C571-C519)</f>
        <v>-1248</v>
      </c>
      <c r="M571" s="8">
        <f t="shared" ref="M571" si="776">IF(K571="","",B571/B519-1)</f>
        <v>-6.9087189976987928E-2</v>
      </c>
      <c r="N571" s="8">
        <f t="shared" ref="N571" si="777">IF(L571="","",C571/C519-1)</f>
        <v>-6.4868236394822976E-2</v>
      </c>
      <c r="O571" s="12">
        <f>3132+0</f>
        <v>3132</v>
      </c>
      <c r="Q571" s="3"/>
      <c r="R571" s="3"/>
      <c r="S571" s="6"/>
      <c r="T571" s="7"/>
      <c r="U571" s="7"/>
      <c r="V571" s="7"/>
      <c r="W571" s="7"/>
      <c r="X571" s="7"/>
      <c r="Y571" s="7"/>
      <c r="Z571" s="7"/>
      <c r="AA571" s="7"/>
      <c r="AB571" s="7"/>
      <c r="AC571" s="7"/>
      <c r="AD571" s="7"/>
      <c r="AE571" s="8"/>
      <c r="AF571" s="8"/>
      <c r="AG571" s="12"/>
    </row>
    <row r="572" spans="1:33" ht="19.7" customHeight="1" x14ac:dyDescent="0.25">
      <c r="A572" s="6">
        <v>43841</v>
      </c>
      <c r="B572" s="7">
        <f t="shared" ref="B572" si="778">IF(SUM(C572:J572)="","",SUM(C572:J572))</f>
        <v>18506</v>
      </c>
      <c r="C572" s="7">
        <f>18198+61</f>
        <v>18259</v>
      </c>
      <c r="D572" s="7">
        <v>222</v>
      </c>
      <c r="E572" s="7">
        <v>25</v>
      </c>
      <c r="F572" s="7">
        <v>0</v>
      </c>
      <c r="G572" s="7">
        <v>0</v>
      </c>
      <c r="H572" s="7">
        <v>0</v>
      </c>
      <c r="I572" s="7">
        <v>0</v>
      </c>
      <c r="J572" s="7">
        <v>0</v>
      </c>
      <c r="K572" s="7">
        <f t="shared" ref="K572" si="779">IF(B572=0,"",B572-B520)</f>
        <v>-1248</v>
      </c>
      <c r="L572" s="7">
        <f t="shared" ref="L572" si="780">IF(C572=0,"",C572-C520)</f>
        <v>-1101</v>
      </c>
      <c r="M572" s="8">
        <f t="shared" ref="M572" si="781">IF(K572="","",B572/B520-1)</f>
        <v>-6.3177078060139724E-2</v>
      </c>
      <c r="N572" s="8">
        <f t="shared" ref="N572" si="782">IF(L572="","",C572/C520-1)</f>
        <v>-5.6869834710743805E-2</v>
      </c>
      <c r="O572" s="12">
        <f>4650+4</f>
        <v>4654</v>
      </c>
      <c r="Q572" s="3"/>
      <c r="R572" s="3"/>
      <c r="S572" s="6"/>
      <c r="T572" s="7"/>
      <c r="U572" s="7"/>
      <c r="V572" s="7"/>
      <c r="W572" s="7"/>
      <c r="X572" s="7"/>
      <c r="Y572" s="7"/>
      <c r="Z572" s="7"/>
      <c r="AA572" s="7"/>
      <c r="AB572" s="7"/>
      <c r="AC572" s="7"/>
      <c r="AD572" s="7"/>
      <c r="AE572" s="8"/>
      <c r="AF572" s="8"/>
      <c r="AG572" s="12"/>
    </row>
    <row r="573" spans="1:33" ht="19.7" customHeight="1" x14ac:dyDescent="0.25">
      <c r="A573" s="6">
        <v>43848</v>
      </c>
      <c r="B573" s="7">
        <f t="shared" ref="B573:B574" si="783">IF(SUM(C573:J573)="","",SUM(C573:J573))</f>
        <v>18652</v>
      </c>
      <c r="C573" s="7">
        <f>18404+17</f>
        <v>18421</v>
      </c>
      <c r="D573" s="7">
        <v>208</v>
      </c>
      <c r="E573" s="7">
        <v>23</v>
      </c>
      <c r="F573" s="7">
        <v>0</v>
      </c>
      <c r="G573" s="7">
        <v>0</v>
      </c>
      <c r="H573" s="7">
        <v>0</v>
      </c>
      <c r="I573" s="7">
        <v>0</v>
      </c>
      <c r="J573" s="7">
        <v>0</v>
      </c>
      <c r="K573" s="7">
        <f t="shared" ref="K573:K574" si="784">IF(B573=0,"",B573-B521)</f>
        <v>-1176</v>
      </c>
      <c r="L573" s="7">
        <f t="shared" ref="L573:L574" si="785">IF(C573=0,"",C573-C521)</f>
        <v>-875</v>
      </c>
      <c r="M573" s="8">
        <f t="shared" ref="M573:M574" si="786">IF(K573="","",B573/B521-1)</f>
        <v>-5.931006657252369E-2</v>
      </c>
      <c r="N573" s="8">
        <f t="shared" ref="N573:N574" si="787">IF(L573="","",C573/C521-1)</f>
        <v>-4.5346185737976774E-2</v>
      </c>
      <c r="O573" s="12">
        <f>4151+1</f>
        <v>4152</v>
      </c>
      <c r="Q573" s="3"/>
      <c r="R573" s="3"/>
      <c r="S573" s="6"/>
      <c r="T573" s="7"/>
      <c r="U573" s="7"/>
      <c r="V573" s="7"/>
      <c r="W573" s="7"/>
      <c r="X573" s="7"/>
      <c r="Y573" s="7"/>
      <c r="Z573" s="7"/>
      <c r="AA573" s="7"/>
      <c r="AB573" s="7"/>
      <c r="AC573" s="7"/>
      <c r="AD573" s="7"/>
      <c r="AE573" s="8"/>
      <c r="AF573" s="8"/>
      <c r="AG573" s="12"/>
    </row>
    <row r="574" spans="1:33" ht="19.7" customHeight="1" x14ac:dyDescent="0.25">
      <c r="A574" s="6">
        <v>43855</v>
      </c>
      <c r="B574" s="7">
        <f t="shared" si="783"/>
        <v>18677</v>
      </c>
      <c r="C574" s="7">
        <f>18383+19</f>
        <v>18402</v>
      </c>
      <c r="D574" s="7">
        <v>235</v>
      </c>
      <c r="E574" s="7">
        <v>40</v>
      </c>
      <c r="F574" s="7">
        <v>0</v>
      </c>
      <c r="G574" s="7">
        <v>0</v>
      </c>
      <c r="H574" s="7">
        <v>0</v>
      </c>
      <c r="I574" s="7">
        <v>0</v>
      </c>
      <c r="J574" s="7">
        <v>0</v>
      </c>
      <c r="K574" s="7">
        <f t="shared" si="784"/>
        <v>-1517</v>
      </c>
      <c r="L574" s="7">
        <f t="shared" si="785"/>
        <v>-1178</v>
      </c>
      <c r="M574" s="8">
        <f t="shared" si="786"/>
        <v>-7.5121323165296627E-2</v>
      </c>
      <c r="N574" s="8">
        <f t="shared" si="787"/>
        <v>-6.0163432073544465E-2</v>
      </c>
      <c r="O574" s="12">
        <f>3470+5</f>
        <v>3475</v>
      </c>
      <c r="Q574" s="3"/>
      <c r="R574" s="3"/>
      <c r="S574" s="6"/>
      <c r="T574" s="7"/>
      <c r="U574" s="7"/>
      <c r="V574" s="7"/>
      <c r="W574" s="7"/>
      <c r="X574" s="7"/>
      <c r="Y574" s="7"/>
      <c r="Z574" s="7"/>
      <c r="AA574" s="7"/>
      <c r="AB574" s="7"/>
      <c r="AC574" s="7"/>
      <c r="AD574" s="7"/>
      <c r="AE574" s="8"/>
      <c r="AF574" s="8"/>
      <c r="AG574" s="12"/>
    </row>
    <row r="575" spans="1:33" ht="19.7" customHeight="1" x14ac:dyDescent="0.25">
      <c r="A575" s="6">
        <v>43862</v>
      </c>
      <c r="B575" s="7">
        <f t="shared" ref="B575" si="788">IF(SUM(C575:J575)="","",SUM(C575:J575))</f>
        <v>19094</v>
      </c>
      <c r="C575" s="7">
        <f>18844+11</f>
        <v>18855</v>
      </c>
      <c r="D575" s="7">
        <v>203</v>
      </c>
      <c r="E575" s="7">
        <v>36</v>
      </c>
      <c r="F575" s="7">
        <v>0</v>
      </c>
      <c r="G575" s="7">
        <v>0</v>
      </c>
      <c r="H575" s="7">
        <v>0</v>
      </c>
      <c r="I575" s="7">
        <v>0</v>
      </c>
      <c r="J575" s="7">
        <v>0</v>
      </c>
      <c r="K575" s="7">
        <f t="shared" ref="K575" si="789">IF(B575=0,"",B575-B523)</f>
        <v>-916</v>
      </c>
      <c r="L575" s="7">
        <f t="shared" ref="L575" si="790">IF(C575=0,"",C575-C523)</f>
        <v>-698</v>
      </c>
      <c r="M575" s="8">
        <f t="shared" ref="M575" si="791">IF(K575="","",B575/B523-1)</f>
        <v>-4.5777111444277874E-2</v>
      </c>
      <c r="N575" s="8">
        <f t="shared" ref="N575" si="792">IF(L575="","",C575/C523-1)</f>
        <v>-3.5697846877716932E-2</v>
      </c>
      <c r="O575" s="12">
        <f>3796+11</f>
        <v>3807</v>
      </c>
      <c r="Q575" s="3"/>
      <c r="R575" s="3"/>
      <c r="S575" s="6"/>
      <c r="T575" s="7"/>
      <c r="U575" s="7"/>
      <c r="V575" s="7"/>
      <c r="W575" s="7"/>
      <c r="X575" s="7"/>
      <c r="Y575" s="7"/>
      <c r="Z575" s="7"/>
      <c r="AA575" s="7"/>
      <c r="AB575" s="7"/>
      <c r="AC575" s="7"/>
      <c r="AD575" s="7"/>
      <c r="AE575" s="8"/>
      <c r="AF575" s="8"/>
      <c r="AG575" s="12"/>
    </row>
    <row r="576" spans="1:33" ht="19.7" customHeight="1" x14ac:dyDescent="0.25">
      <c r="A576" s="6">
        <v>43869</v>
      </c>
      <c r="B576" s="7">
        <f t="shared" ref="B576" si="793">IF(SUM(C576:J576)="","",SUM(C576:J576))</f>
        <v>18715</v>
      </c>
      <c r="C576" s="7">
        <f>18454+7</f>
        <v>18461</v>
      </c>
      <c r="D576" s="7">
        <v>223</v>
      </c>
      <c r="E576" s="7">
        <v>31</v>
      </c>
      <c r="F576" s="7">
        <v>0</v>
      </c>
      <c r="G576" s="7">
        <v>0</v>
      </c>
      <c r="H576" s="7">
        <v>0</v>
      </c>
      <c r="I576" s="7">
        <v>0</v>
      </c>
      <c r="J576" s="7">
        <v>0</v>
      </c>
      <c r="K576" s="7">
        <f t="shared" ref="K576" si="794">IF(B576=0,"",B576-B524)</f>
        <v>-1206</v>
      </c>
      <c r="L576" s="7">
        <f t="shared" ref="L576" si="795">IF(C576=0,"",C576-C524)</f>
        <v>-1134</v>
      </c>
      <c r="M576" s="8">
        <f t="shared" ref="M576" si="796">IF(K576="","",B576/B524-1)</f>
        <v>-6.053912956176899E-2</v>
      </c>
      <c r="N576" s="8">
        <f t="shared" ref="N576" si="797">IF(L576="","",C576/C524-1)</f>
        <v>-5.7871906098494463E-2</v>
      </c>
      <c r="O576" s="12">
        <f>3635+1</f>
        <v>3636</v>
      </c>
      <c r="Q576" s="3"/>
      <c r="R576" s="3"/>
      <c r="S576" s="6"/>
      <c r="T576" s="7"/>
      <c r="U576" s="7"/>
      <c r="V576" s="7"/>
      <c r="W576" s="7"/>
      <c r="X576" s="7"/>
      <c r="Y576" s="7"/>
      <c r="Z576" s="7"/>
      <c r="AA576" s="7"/>
      <c r="AB576" s="7"/>
      <c r="AC576" s="7"/>
      <c r="AD576" s="7"/>
      <c r="AE576" s="8"/>
      <c r="AF576" s="8"/>
      <c r="AG576" s="12"/>
    </row>
    <row r="577" spans="1:33" ht="19.7" customHeight="1" x14ac:dyDescent="0.25">
      <c r="A577" s="6">
        <v>43876</v>
      </c>
      <c r="B577" s="7">
        <f t="shared" ref="B577" si="798">IF(SUM(C577:J577)="","",SUM(C577:J577))</f>
        <v>18736</v>
      </c>
      <c r="C577" s="7">
        <f>18472+44</f>
        <v>18516</v>
      </c>
      <c r="D577" s="7">
        <v>187</v>
      </c>
      <c r="E577" s="7">
        <v>33</v>
      </c>
      <c r="F577" s="7">
        <v>0</v>
      </c>
      <c r="G577" s="7">
        <v>0</v>
      </c>
      <c r="H577" s="7">
        <v>0</v>
      </c>
      <c r="I577" s="7">
        <v>0</v>
      </c>
      <c r="J577" s="7">
        <v>0</v>
      </c>
      <c r="K577" s="7">
        <f t="shared" ref="K577" si="799">IF(B577=0,"",B577-B525)</f>
        <v>-1211</v>
      </c>
      <c r="L577" s="7">
        <f t="shared" ref="L577" si="800">IF(C577=0,"",C577-C525)</f>
        <v>-1118</v>
      </c>
      <c r="M577" s="8">
        <f t="shared" ref="M577" si="801">IF(K577="","",B577/B525-1)</f>
        <v>-6.0710883842181818E-2</v>
      </c>
      <c r="N577" s="8">
        <f t="shared" ref="N577" si="802">IF(L577="","",C577/C525-1)</f>
        <v>-5.6942039319547777E-2</v>
      </c>
      <c r="O577" s="12">
        <f>3536+2</f>
        <v>3538</v>
      </c>
      <c r="Q577" s="3"/>
      <c r="R577" s="3"/>
      <c r="S577" s="6"/>
      <c r="T577" s="7"/>
      <c r="U577" s="7"/>
      <c r="V577" s="7"/>
      <c r="W577" s="7"/>
      <c r="X577" s="7"/>
      <c r="Y577" s="7"/>
      <c r="Z577" s="7"/>
      <c r="AA577" s="7"/>
      <c r="AB577" s="7"/>
      <c r="AC577" s="7"/>
      <c r="AD577" s="7"/>
      <c r="AE577" s="8"/>
      <c r="AF577" s="8"/>
      <c r="AG577" s="12"/>
    </row>
    <row r="578" spans="1:33" ht="19.7" customHeight="1" x14ac:dyDescent="0.25">
      <c r="A578" s="6">
        <v>43883</v>
      </c>
      <c r="B578" s="7">
        <f t="shared" ref="B578" si="803">IF(SUM(C578:J578)="","",SUM(C578:J578))</f>
        <v>18460</v>
      </c>
      <c r="C578" s="7">
        <f>18193+24</f>
        <v>18217</v>
      </c>
      <c r="D578" s="7">
        <v>217</v>
      </c>
      <c r="E578" s="7">
        <v>26</v>
      </c>
      <c r="F578" s="7">
        <v>0</v>
      </c>
      <c r="G578" s="7">
        <v>0</v>
      </c>
      <c r="H578" s="7">
        <v>0</v>
      </c>
      <c r="I578" s="7">
        <v>0</v>
      </c>
      <c r="J578" s="7">
        <v>0</v>
      </c>
      <c r="K578" s="7">
        <f t="shared" ref="K578" si="804">IF(B578=0,"",B578-B526)</f>
        <v>-1191</v>
      </c>
      <c r="L578" s="7">
        <f t="shared" ref="L578" si="805">IF(C578=0,"",C578-C526)</f>
        <v>-1146</v>
      </c>
      <c r="M578" s="8">
        <f t="shared" ref="M578" si="806">IF(K578="","",B578/B526-1)</f>
        <v>-6.060760266653098E-2</v>
      </c>
      <c r="N578" s="8">
        <f t="shared" ref="N578" si="807">IF(L578="","",C578/C526-1)</f>
        <v>-5.9185043639931822E-2</v>
      </c>
      <c r="O578" s="12">
        <f>3149+2</f>
        <v>3151</v>
      </c>
      <c r="Q578" s="3"/>
      <c r="R578" s="3"/>
      <c r="S578" s="6"/>
      <c r="T578" s="7"/>
      <c r="U578" s="7"/>
      <c r="V578" s="7"/>
      <c r="W578" s="7"/>
      <c r="X578" s="7"/>
      <c r="Y578" s="7"/>
      <c r="Z578" s="7"/>
      <c r="AA578" s="7"/>
      <c r="AB578" s="7"/>
      <c r="AC578" s="7"/>
      <c r="AD578" s="7"/>
      <c r="AE578" s="8"/>
      <c r="AF578" s="8"/>
      <c r="AG578" s="12"/>
    </row>
    <row r="579" spans="1:33" ht="19.7" customHeight="1" x14ac:dyDescent="0.25">
      <c r="A579" s="6">
        <v>43890</v>
      </c>
      <c r="B579" s="7">
        <f t="shared" ref="B579" si="808">IF(SUM(C579:J579)="","",SUM(C579:J579))</f>
        <v>18358</v>
      </c>
      <c r="C579" s="7">
        <f>18121+16</f>
        <v>18137</v>
      </c>
      <c r="D579" s="7">
        <v>193</v>
      </c>
      <c r="E579" s="7">
        <v>28</v>
      </c>
      <c r="F579" s="7">
        <v>0</v>
      </c>
      <c r="G579" s="7">
        <v>0</v>
      </c>
      <c r="H579" s="7">
        <v>0</v>
      </c>
      <c r="I579" s="7">
        <v>0</v>
      </c>
      <c r="J579" s="7">
        <v>0</v>
      </c>
      <c r="K579" s="7">
        <f t="shared" ref="K579" si="809">IF(B579=0,"",B579-B527)</f>
        <v>-1150</v>
      </c>
      <c r="L579" s="7">
        <f t="shared" ref="L579" si="810">IF(C579=0,"",C579-C527)</f>
        <v>-1094</v>
      </c>
      <c r="M579" s="8">
        <f t="shared" ref="M579" si="811">IF(K579="","",B579/B527-1)</f>
        <v>-5.8950174287471846E-2</v>
      </c>
      <c r="N579" s="8">
        <f t="shared" ref="N579" si="812">IF(L579="","",C579/C527-1)</f>
        <v>-5.6887317352191769E-2</v>
      </c>
      <c r="O579" s="12">
        <f>3085+1</f>
        <v>3086</v>
      </c>
      <c r="Q579" s="3"/>
      <c r="R579" s="3"/>
      <c r="S579" s="6"/>
      <c r="T579" s="7"/>
      <c r="U579" s="7"/>
      <c r="V579" s="7"/>
      <c r="W579" s="7"/>
      <c r="X579" s="7"/>
      <c r="Y579" s="7"/>
      <c r="Z579" s="7"/>
      <c r="AA579" s="7"/>
      <c r="AB579" s="7"/>
      <c r="AC579" s="7"/>
      <c r="AD579" s="7"/>
      <c r="AE579" s="8"/>
      <c r="AF579" s="8"/>
      <c r="AG579" s="12"/>
    </row>
    <row r="580" spans="1:33" ht="19.7" customHeight="1" x14ac:dyDescent="0.25">
      <c r="A580" s="6">
        <v>43897</v>
      </c>
      <c r="B580" s="7">
        <f t="shared" ref="B580" si="813">IF(SUM(C580:J580)="","",SUM(C580:J580))</f>
        <v>17827</v>
      </c>
      <c r="C580" s="7">
        <f>17577+16</f>
        <v>17593</v>
      </c>
      <c r="D580" s="7">
        <v>204</v>
      </c>
      <c r="E580" s="7">
        <v>30</v>
      </c>
      <c r="F580" s="7">
        <v>0</v>
      </c>
      <c r="G580" s="7">
        <v>0</v>
      </c>
      <c r="H580" s="7">
        <v>0</v>
      </c>
      <c r="I580" s="7">
        <v>0</v>
      </c>
      <c r="J580" s="7">
        <v>0</v>
      </c>
      <c r="K580" s="7">
        <f t="shared" ref="K580" si="814">IF(B580=0,"",B580-B528)</f>
        <v>-1484</v>
      </c>
      <c r="L580" s="7">
        <f t="shared" ref="L580" si="815">IF(C580=0,"",C580-C528)</f>
        <v>-1464</v>
      </c>
      <c r="M580" s="8">
        <f t="shared" ref="M580" si="816">IF(K580="","",B580/B528-1)</f>
        <v>-7.6847392677748427E-2</v>
      </c>
      <c r="N580" s="8">
        <f t="shared" ref="N580" si="817">IF(L580="","",C580/C528-1)</f>
        <v>-7.6822165083696325E-2</v>
      </c>
      <c r="O580" s="12">
        <f>3356+1</f>
        <v>3357</v>
      </c>
      <c r="Q580" s="3"/>
      <c r="R580" s="3"/>
      <c r="S580" s="6"/>
      <c r="T580" s="7"/>
      <c r="U580" s="7"/>
      <c r="V580" s="7"/>
      <c r="W580" s="7"/>
      <c r="X580" s="7"/>
      <c r="Y580" s="7"/>
      <c r="Z580" s="7"/>
      <c r="AA580" s="7"/>
      <c r="AB580" s="7"/>
      <c r="AC580" s="7"/>
      <c r="AD580" s="7"/>
      <c r="AE580" s="8"/>
      <c r="AF580" s="8"/>
      <c r="AG580" s="12"/>
    </row>
    <row r="581" spans="1:33" ht="19.7" customHeight="1" x14ac:dyDescent="0.25">
      <c r="A581" s="6">
        <v>43904</v>
      </c>
      <c r="B581" s="7">
        <f t="shared" ref="B581" si="818">IF(SUM(C581:J581)="","",SUM(C581:J581))</f>
        <v>17808</v>
      </c>
      <c r="C581" s="7">
        <f>17588+7</f>
        <v>17595</v>
      </c>
      <c r="D581" s="7">
        <v>183</v>
      </c>
      <c r="E581" s="7">
        <v>30</v>
      </c>
      <c r="F581" s="7">
        <v>0</v>
      </c>
      <c r="G581" s="7">
        <v>0</v>
      </c>
      <c r="H581" s="7">
        <v>0</v>
      </c>
      <c r="I581" s="7">
        <v>0</v>
      </c>
      <c r="J581" s="7">
        <v>0</v>
      </c>
      <c r="K581" s="7">
        <f t="shared" ref="K581" si="819">IF(B581=0,"",B581-B529)</f>
        <v>-1544</v>
      </c>
      <c r="L581" s="7">
        <f t="shared" ref="L581" si="820">IF(C581=0,"",C581-C529)</f>
        <v>-1493</v>
      </c>
      <c r="M581" s="8">
        <f t="shared" ref="M581" si="821">IF(K581="","",B581/B529-1)</f>
        <v>-7.9785035138487004E-2</v>
      </c>
      <c r="N581" s="8">
        <f t="shared" ref="N581" si="822">IF(L581="","",C581/C529-1)</f>
        <v>-7.8216680637049452E-2</v>
      </c>
      <c r="O581" s="12">
        <f>3844+0</f>
        <v>3844</v>
      </c>
      <c r="Q581" s="3"/>
      <c r="R581" s="3"/>
      <c r="S581" s="6"/>
      <c r="T581" s="7"/>
      <c r="U581" s="7"/>
      <c r="V581" s="7"/>
      <c r="W581" s="7"/>
      <c r="X581" s="7"/>
      <c r="Y581" s="7"/>
      <c r="Z581" s="7"/>
      <c r="AA581" s="7"/>
      <c r="AB581" s="7"/>
      <c r="AC581" s="7"/>
      <c r="AD581" s="7"/>
      <c r="AE581" s="8"/>
      <c r="AF581" s="8"/>
      <c r="AG581" s="12"/>
    </row>
    <row r="582" spans="1:33" ht="19.7" customHeight="1" x14ac:dyDescent="0.25">
      <c r="A582" s="6">
        <v>43911</v>
      </c>
      <c r="B582" s="7">
        <f t="shared" ref="B582" si="823">IF(SUM(C582:J582)="","",SUM(C582:J582))</f>
        <v>18332</v>
      </c>
      <c r="C582" s="7">
        <f>18096+13</f>
        <v>18109</v>
      </c>
      <c r="D582" s="7">
        <v>182</v>
      </c>
      <c r="E582" s="7">
        <v>41</v>
      </c>
      <c r="F582" s="7">
        <v>0</v>
      </c>
      <c r="G582" s="7">
        <v>0</v>
      </c>
      <c r="H582" s="7">
        <v>0</v>
      </c>
      <c r="I582" s="7">
        <v>0</v>
      </c>
      <c r="J582" s="7">
        <v>0</v>
      </c>
      <c r="K582" s="7">
        <f t="shared" ref="K582" si="824">IF(B582=0,"",B582-B530)</f>
        <v>-894</v>
      </c>
      <c r="L582" s="7">
        <f t="shared" ref="L582" si="825">IF(C582=0,"",C582-C530)</f>
        <v>-878</v>
      </c>
      <c r="M582" s="8">
        <f t="shared" ref="M582" si="826">IF(K582="","",B582/B530-1)</f>
        <v>-4.6499531883907208E-2</v>
      </c>
      <c r="N582" s="8">
        <f t="shared" ref="N582" si="827">IF(L582="","",C582/C530-1)</f>
        <v>-4.6242165692315762E-2</v>
      </c>
      <c r="O582" s="12">
        <f>29337+11</f>
        <v>29348</v>
      </c>
      <c r="Q582" s="3"/>
      <c r="R582" s="3"/>
      <c r="S582" s="6"/>
      <c r="T582" s="7"/>
      <c r="U582" s="7"/>
      <c r="V582" s="7"/>
      <c r="W582" s="7"/>
      <c r="X582" s="7"/>
      <c r="Y582" s="7"/>
      <c r="Z582" s="7"/>
      <c r="AA582" s="7"/>
      <c r="AB582" s="7"/>
      <c r="AC582" s="7"/>
      <c r="AD582" s="7"/>
      <c r="AE582" s="8"/>
      <c r="AF582" s="8"/>
      <c r="AG582" s="12"/>
    </row>
    <row r="583" spans="1:33" ht="19.7" customHeight="1" x14ac:dyDescent="0.25">
      <c r="A583" s="6">
        <v>43918</v>
      </c>
      <c r="B583" s="7">
        <f t="shared" ref="B583" si="828">IF(SUM(C583:J583)="","",SUM(C583:J583))</f>
        <v>26591</v>
      </c>
      <c r="C583" s="7">
        <f>26381+7</f>
        <v>26388</v>
      </c>
      <c r="D583" s="7">
        <v>171</v>
      </c>
      <c r="E583" s="7">
        <v>32</v>
      </c>
      <c r="F583" s="7">
        <v>0</v>
      </c>
      <c r="G583" s="7">
        <v>0</v>
      </c>
      <c r="H583" s="7">
        <v>0</v>
      </c>
      <c r="I583" s="7">
        <v>0</v>
      </c>
      <c r="J583" s="7">
        <v>0</v>
      </c>
      <c r="K583" s="7">
        <f t="shared" ref="K583" si="829">IF(B583=0,"",B583-B531)</f>
        <v>7224</v>
      </c>
      <c r="L583" s="7">
        <f t="shared" ref="L583" si="830">IF(C583=0,"",C583-C531)</f>
        <v>7276</v>
      </c>
      <c r="M583" s="8">
        <f t="shared" ref="M583" si="831">IF(K583="","",B583/B531-1)</f>
        <v>0.37300562813032467</v>
      </c>
      <c r="N583" s="8">
        <f t="shared" ref="N583" si="832">IF(L583="","",C583/C531-1)</f>
        <v>0.38070322310590199</v>
      </c>
      <c r="O583" s="12">
        <f>88688+252</f>
        <v>88940</v>
      </c>
      <c r="Q583" s="3"/>
      <c r="R583" s="3"/>
      <c r="S583" s="6"/>
      <c r="T583" s="7"/>
      <c r="U583" s="7"/>
      <c r="V583" s="7"/>
      <c r="W583" s="7"/>
      <c r="X583" s="7"/>
      <c r="Y583" s="7"/>
      <c r="Z583" s="7"/>
      <c r="AA583" s="7"/>
      <c r="AB583" s="7"/>
      <c r="AC583" s="7"/>
      <c r="AD583" s="7"/>
      <c r="AE583" s="8"/>
      <c r="AF583" s="8"/>
      <c r="AG583" s="12"/>
    </row>
    <row r="584" spans="1:33" ht="19.7" customHeight="1" x14ac:dyDescent="0.25">
      <c r="A584" s="6">
        <v>43925</v>
      </c>
      <c r="B584" s="7">
        <f t="shared" ref="B584" si="833">IF(SUM(C584:J584)="","",SUM(C584:J584))</f>
        <v>62841</v>
      </c>
      <c r="C584" s="7">
        <f>62566+32</f>
        <v>62598</v>
      </c>
      <c r="D584" s="7">
        <v>194</v>
      </c>
      <c r="E584" s="7">
        <v>49</v>
      </c>
      <c r="F584" s="7">
        <v>0</v>
      </c>
      <c r="G584" s="7">
        <v>0</v>
      </c>
      <c r="H584" s="7">
        <v>0</v>
      </c>
      <c r="I584" s="7">
        <v>0</v>
      </c>
      <c r="J584" s="7">
        <v>0</v>
      </c>
      <c r="K584" s="7">
        <f t="shared" ref="K584" si="834">IF(B584=0,"",B584-B532)</f>
        <v>43855</v>
      </c>
      <c r="L584" s="7">
        <f t="shared" ref="L584" si="835">IF(C584=0,"",C584-C532)</f>
        <v>43843</v>
      </c>
      <c r="M584" s="8">
        <f t="shared" ref="M584" si="836">IF(K584="","",B584/B532-1)</f>
        <v>2.3098598967660382</v>
      </c>
      <c r="N584" s="8">
        <f t="shared" ref="N584" si="837">IF(L584="","",C584/C532-1)</f>
        <v>2.3376699546787525</v>
      </c>
      <c r="O584" s="12">
        <f>132382+46</f>
        <v>132428</v>
      </c>
      <c r="Q584" s="3"/>
      <c r="R584" s="3"/>
      <c r="S584" s="6"/>
      <c r="T584" s="7"/>
      <c r="U584" s="7"/>
      <c r="V584" s="7"/>
      <c r="W584" s="7"/>
      <c r="X584" s="7"/>
      <c r="Y584" s="7"/>
      <c r="Z584" s="7"/>
      <c r="AA584" s="7"/>
      <c r="AB584" s="7"/>
      <c r="AC584" s="7"/>
      <c r="AD584" s="7"/>
      <c r="AE584" s="8"/>
      <c r="AF584" s="8"/>
      <c r="AG584" s="12"/>
    </row>
    <row r="585" spans="1:33" ht="19.7" customHeight="1" x14ac:dyDescent="0.25">
      <c r="A585" s="6">
        <v>43932</v>
      </c>
      <c r="B585" s="7">
        <f t="shared" ref="B585" si="838">IF(SUM(C585:J585)="","",SUM(C585:J585))</f>
        <v>120862</v>
      </c>
      <c r="C585" s="7">
        <f>120452+140</f>
        <v>120592</v>
      </c>
      <c r="D585" s="7">
        <v>182</v>
      </c>
      <c r="E585" s="7">
        <v>88</v>
      </c>
      <c r="F585" s="7">
        <v>0</v>
      </c>
      <c r="G585" s="7">
        <v>0</v>
      </c>
      <c r="H585" s="7">
        <v>0</v>
      </c>
      <c r="I585" s="7">
        <v>0</v>
      </c>
      <c r="J585" s="7">
        <v>0</v>
      </c>
      <c r="K585" s="7">
        <f t="shared" ref="K585" si="839">IF(B585=0,"",B585-B533)</f>
        <v>100926</v>
      </c>
      <c r="L585" s="7">
        <f t="shared" ref="L585" si="840">IF(C585=0,"",C585-C533)</f>
        <v>100856</v>
      </c>
      <c r="M585" s="8">
        <f t="shared" ref="M585" si="841">IF(K585="","",B585/B533-1)</f>
        <v>5.0625</v>
      </c>
      <c r="N585" s="8">
        <f t="shared" ref="N585" si="842">IF(L585="","",C585/C533-1)</f>
        <v>5.1102553708958247</v>
      </c>
      <c r="O585" s="12">
        <f>98495+36</f>
        <v>98531</v>
      </c>
      <c r="Q585" s="3"/>
      <c r="R585" s="3"/>
      <c r="S585" s="6"/>
      <c r="T585" s="7"/>
      <c r="U585" s="7"/>
      <c r="V585" s="7"/>
      <c r="W585" s="7"/>
      <c r="X585" s="7"/>
      <c r="Y585" s="7"/>
      <c r="Z585" s="7"/>
      <c r="AA585" s="7"/>
      <c r="AB585" s="7"/>
      <c r="AC585" s="7"/>
      <c r="AD585" s="7"/>
      <c r="AE585" s="8"/>
      <c r="AF585" s="8"/>
      <c r="AG585" s="12"/>
    </row>
    <row r="586" spans="1:33" ht="19.7" customHeight="1" x14ac:dyDescent="0.25">
      <c r="A586" s="6">
        <v>43939</v>
      </c>
      <c r="B586" s="7">
        <f t="shared" ref="B586" si="843">IF(SUM(C586:J586)="","",SUM(C586:J586))</f>
        <v>170544</v>
      </c>
      <c r="C586" s="7">
        <f>170200+62</f>
        <v>170262</v>
      </c>
      <c r="D586" s="7">
        <v>179</v>
      </c>
      <c r="E586" s="7">
        <v>103</v>
      </c>
      <c r="F586" s="7">
        <v>0</v>
      </c>
      <c r="G586" s="7">
        <v>0</v>
      </c>
      <c r="H586" s="7">
        <v>0</v>
      </c>
      <c r="I586" s="7">
        <v>0</v>
      </c>
      <c r="J586" s="7">
        <v>0</v>
      </c>
      <c r="K586" s="7">
        <f t="shared" ref="K586" si="844">IF(B586=0,"",B586-B534)</f>
        <v>149335</v>
      </c>
      <c r="L586" s="7">
        <f t="shared" ref="L586" si="845">IF(C586=0,"",C586-C534)</f>
        <v>149234</v>
      </c>
      <c r="M586" s="8">
        <f t="shared" ref="M586" si="846">IF(K586="","",B586/B534-1)</f>
        <v>7.0411146211513973</v>
      </c>
      <c r="N586" s="8">
        <f t="shared" ref="N586" si="847">IF(L586="","",C586/C534-1)</f>
        <v>7.096918394521591</v>
      </c>
      <c r="O586" s="12">
        <f>72433+24</f>
        <v>72457</v>
      </c>
      <c r="Q586" s="3"/>
      <c r="R586" s="3"/>
      <c r="S586" s="6"/>
      <c r="T586" s="7"/>
      <c r="U586" s="7"/>
      <c r="V586" s="7"/>
      <c r="W586" s="7"/>
      <c r="X586" s="7"/>
      <c r="Y586" s="7"/>
      <c r="Z586" s="7"/>
      <c r="AA586" s="7"/>
      <c r="AB586" s="7"/>
      <c r="AC586" s="7"/>
      <c r="AD586" s="7"/>
      <c r="AE586" s="8"/>
      <c r="AF586" s="8"/>
      <c r="AG586" s="12"/>
    </row>
    <row r="587" spans="1:33" ht="19.7" customHeight="1" x14ac:dyDescent="0.25">
      <c r="A587" s="6">
        <v>43946</v>
      </c>
      <c r="B587" s="7">
        <f t="shared" ref="B587" si="848">IF(SUM(C587:J587)="","",SUM(C587:J587))</f>
        <v>196693</v>
      </c>
      <c r="C587" s="7">
        <f>196272+129</f>
        <v>196401</v>
      </c>
      <c r="D587" s="7">
        <v>179</v>
      </c>
      <c r="E587" s="7">
        <v>113</v>
      </c>
      <c r="F587" s="7">
        <v>0</v>
      </c>
      <c r="G587" s="7">
        <v>0</v>
      </c>
      <c r="H587" s="7">
        <v>0</v>
      </c>
      <c r="I587" s="7">
        <v>0</v>
      </c>
      <c r="J587" s="7">
        <v>0</v>
      </c>
      <c r="K587" s="7">
        <f t="shared" ref="K587" si="849">IF(B587=0,"",B587-B535)</f>
        <v>173622</v>
      </c>
      <c r="L587" s="7">
        <f t="shared" ref="L587" si="850">IF(C587=0,"",C587-C535)</f>
        <v>173489</v>
      </c>
      <c r="M587" s="8">
        <f t="shared" ref="M587" si="851">IF(K587="","",B587/B535-1)</f>
        <v>7.5255515582332801</v>
      </c>
      <c r="N587" s="8">
        <f t="shared" ref="N587" si="852">IF(L587="","",C587/C535-1)</f>
        <v>7.5719710195530734</v>
      </c>
      <c r="O587" s="12">
        <f>52529+52</f>
        <v>52581</v>
      </c>
      <c r="Q587" s="3"/>
      <c r="R587" s="3"/>
      <c r="S587" s="6"/>
      <c r="T587" s="7"/>
      <c r="U587" s="7"/>
      <c r="V587" s="7"/>
      <c r="W587" s="7"/>
      <c r="X587" s="7"/>
      <c r="Y587" s="7"/>
      <c r="Z587" s="7"/>
      <c r="AA587" s="7"/>
      <c r="AB587" s="7"/>
      <c r="AC587" s="7"/>
      <c r="AD587" s="7"/>
      <c r="AE587" s="8"/>
      <c r="AF587" s="8"/>
      <c r="AG587" s="12"/>
    </row>
    <row r="588" spans="1:33" ht="19.7" customHeight="1" x14ac:dyDescent="0.25">
      <c r="A588" s="6">
        <v>43953</v>
      </c>
      <c r="B588" s="7">
        <f t="shared" ref="B588" si="853">IF(SUM(C588:J588)="","",SUM(C588:J588))</f>
        <v>219092</v>
      </c>
      <c r="C588" s="7">
        <f>218541+219</f>
        <v>218760</v>
      </c>
      <c r="D588" s="7">
        <v>197</v>
      </c>
      <c r="E588" s="7">
        <v>135</v>
      </c>
      <c r="F588" s="7">
        <v>0</v>
      </c>
      <c r="G588" s="7">
        <v>0</v>
      </c>
      <c r="H588" s="7">
        <v>0</v>
      </c>
      <c r="I588" s="7">
        <v>0</v>
      </c>
      <c r="J588" s="7">
        <v>0</v>
      </c>
      <c r="K588" s="7">
        <f t="shared" ref="K588" si="854">IF(B588=0,"",B588-B536)</f>
        <v>195204</v>
      </c>
      <c r="L588" s="7">
        <f t="shared" ref="L588" si="855">IF(C588=0,"",C588-C536)</f>
        <v>195027</v>
      </c>
      <c r="M588" s="8">
        <f t="shared" ref="M588" si="856">IF(K588="","",B588/B536-1)</f>
        <v>8.1716342933690562</v>
      </c>
      <c r="N588" s="8">
        <f t="shared" ref="N588" si="857">IF(L588="","",C588/C536-1)</f>
        <v>8.2175451902414363</v>
      </c>
      <c r="O588" s="12">
        <f>42955+68</f>
        <v>43023</v>
      </c>
      <c r="Q588" s="3"/>
      <c r="R588" s="3"/>
      <c r="S588" s="6"/>
      <c r="T588" s="7"/>
      <c r="U588" s="7"/>
      <c r="V588" s="7"/>
      <c r="W588" s="7"/>
      <c r="X588" s="7"/>
      <c r="Y588" s="7"/>
      <c r="Z588" s="7"/>
      <c r="AA588" s="7"/>
      <c r="AB588" s="7"/>
      <c r="AC588" s="7"/>
      <c r="AD588" s="7"/>
      <c r="AE588" s="8"/>
      <c r="AF588" s="8"/>
      <c r="AG588" s="12"/>
    </row>
    <row r="589" spans="1:33" ht="19.7" customHeight="1" x14ac:dyDescent="0.25">
      <c r="A589" s="6">
        <v>43960</v>
      </c>
      <c r="B589" s="7">
        <f t="shared" ref="B589" si="858">IF(SUM(C589:J589)="","",SUM(C589:J589))</f>
        <v>229133</v>
      </c>
      <c r="C589" s="7">
        <f>228581+225</f>
        <v>228806</v>
      </c>
      <c r="D589" s="7">
        <v>202</v>
      </c>
      <c r="E589" s="7">
        <v>125</v>
      </c>
      <c r="F589" s="7">
        <v>0</v>
      </c>
      <c r="G589" s="7">
        <v>0</v>
      </c>
      <c r="H589" s="7">
        <v>0</v>
      </c>
      <c r="I589" s="7">
        <v>0</v>
      </c>
      <c r="J589" s="7">
        <v>0</v>
      </c>
      <c r="K589" s="7">
        <f t="shared" ref="K589" si="859">IF(B589=0,"",B589-B537)</f>
        <v>204133</v>
      </c>
      <c r="L589" s="7">
        <f t="shared" ref="L589" si="860">IF(C589=0,"",C589-C537)</f>
        <v>203926</v>
      </c>
      <c r="M589" s="8">
        <f t="shared" ref="M589" si="861">IF(K589="","",B589/B537-1)</f>
        <v>8.1653199999999995</v>
      </c>
      <c r="N589" s="8">
        <f t="shared" ref="N589" si="862">IF(L589="","",C589/C537-1)</f>
        <v>8.1963826366559491</v>
      </c>
      <c r="O589" s="12">
        <f>31032+538</f>
        <v>31570</v>
      </c>
      <c r="Q589" s="3"/>
      <c r="R589" s="3"/>
      <c r="S589" s="6"/>
      <c r="T589" s="7"/>
      <c r="U589" s="7"/>
      <c r="V589" s="7"/>
      <c r="W589" s="7"/>
      <c r="X589" s="7"/>
      <c r="Y589" s="7"/>
      <c r="Z589" s="7"/>
      <c r="AA589" s="7"/>
      <c r="AB589" s="7"/>
      <c r="AC589" s="7"/>
      <c r="AD589" s="7"/>
      <c r="AE589" s="8"/>
      <c r="AF589" s="8"/>
      <c r="AG589" s="12"/>
    </row>
    <row r="590" spans="1:33" ht="19.7" customHeight="1" x14ac:dyDescent="0.25">
      <c r="A590" s="6">
        <v>43967</v>
      </c>
      <c r="B590" s="7">
        <f t="shared" ref="B590" si="863">IF(SUM(C590:J590)="","",SUM(C590:J590))</f>
        <v>230910</v>
      </c>
      <c r="C590" s="7">
        <f>229947+620</f>
        <v>230567</v>
      </c>
      <c r="D590" s="7">
        <v>196</v>
      </c>
      <c r="E590" s="7">
        <v>147</v>
      </c>
      <c r="F590" s="7">
        <v>0</v>
      </c>
      <c r="G590" s="7">
        <v>0</v>
      </c>
      <c r="H590" s="7">
        <v>0</v>
      </c>
      <c r="I590" s="7">
        <v>0</v>
      </c>
      <c r="J590" s="7">
        <v>0</v>
      </c>
      <c r="K590" s="7">
        <f t="shared" ref="K590" si="864">IF(B590=0,"",B590-B538)</f>
        <v>205297</v>
      </c>
      <c r="L590" s="7">
        <f t="shared" ref="L590" si="865">IF(C590=0,"",C590-C538)</f>
        <v>205070</v>
      </c>
      <c r="M590" s="8">
        <f t="shared" ref="M590" si="866">IF(K590="","",B590/B538-1)</f>
        <v>8.0153437707414206</v>
      </c>
      <c r="N590" s="8">
        <f t="shared" ref="N590" si="867">IF(L590="","",C590/C538-1)</f>
        <v>8.0429070086676866</v>
      </c>
      <c r="O590" s="12">
        <f>31933+24</f>
        <v>31957</v>
      </c>
      <c r="Q590" s="3"/>
      <c r="R590" s="3"/>
      <c r="S590" s="6"/>
      <c r="T590" s="7"/>
      <c r="U590" s="7"/>
      <c r="V590" s="7"/>
      <c r="W590" s="7"/>
      <c r="X590" s="7"/>
      <c r="Y590" s="7"/>
      <c r="Z590" s="7"/>
      <c r="AA590" s="7"/>
      <c r="AB590" s="7"/>
      <c r="AC590" s="7"/>
      <c r="AD590" s="7"/>
      <c r="AE590" s="8"/>
      <c r="AF590" s="8"/>
      <c r="AG590" s="12"/>
    </row>
    <row r="591" spans="1:33" ht="19.7" customHeight="1" x14ac:dyDescent="0.25">
      <c r="A591" s="6">
        <v>43974</v>
      </c>
      <c r="B591" s="7">
        <f t="shared" ref="B591" si="868">IF(SUM(C591:J591)="","",SUM(C591:J591))</f>
        <v>218289</v>
      </c>
      <c r="C591" s="7">
        <f>217430+538</f>
        <v>217968</v>
      </c>
      <c r="D591" s="7">
        <v>168</v>
      </c>
      <c r="E591" s="7">
        <v>153</v>
      </c>
      <c r="F591" s="7">
        <v>0</v>
      </c>
      <c r="G591" s="7">
        <v>0</v>
      </c>
      <c r="H591" s="7">
        <v>0</v>
      </c>
      <c r="I591" s="7">
        <v>0</v>
      </c>
      <c r="J591" s="7">
        <v>0</v>
      </c>
      <c r="K591" s="7">
        <f t="shared" ref="K591" si="869">IF(B591=0,"",B591-B539)</f>
        <v>192555</v>
      </c>
      <c r="L591" s="7">
        <f t="shared" ref="L591" si="870">IF(C591=0,"",C591-C539)</f>
        <v>192359</v>
      </c>
      <c r="M591" s="8">
        <f t="shared" ref="M591" si="871">IF(K591="","",B591/B539-1)</f>
        <v>7.4825134063884349</v>
      </c>
      <c r="N591" s="8">
        <f t="shared" ref="N591" si="872">IF(L591="","",C591/C539-1)</f>
        <v>7.5113827170135501</v>
      </c>
      <c r="O591" s="12">
        <f>26847+21</f>
        <v>26868</v>
      </c>
      <c r="Q591" s="3"/>
      <c r="R591" s="3"/>
      <c r="S591" s="6"/>
      <c r="T591" s="7"/>
      <c r="U591" s="7"/>
      <c r="V591" s="7"/>
      <c r="W591" s="7"/>
      <c r="X591" s="7"/>
      <c r="Y591" s="7"/>
      <c r="Z591" s="7"/>
      <c r="AA591" s="7"/>
      <c r="AB591" s="7"/>
      <c r="AC591" s="7"/>
      <c r="AD591" s="7"/>
      <c r="AE591" s="8"/>
      <c r="AF591" s="8"/>
      <c r="AG591" s="12"/>
    </row>
    <row r="592" spans="1:33" ht="19.7" customHeight="1" x14ac:dyDescent="0.25">
      <c r="A592" s="6">
        <v>43981</v>
      </c>
      <c r="B592" s="7">
        <f t="shared" ref="B592" si="873">IF(SUM(C592:J592)="","",SUM(C592:J592))</f>
        <v>210305</v>
      </c>
      <c r="C592" s="7">
        <f>208903+1042</f>
        <v>209945</v>
      </c>
      <c r="D592" s="7">
        <v>191</v>
      </c>
      <c r="E592" s="7">
        <v>169</v>
      </c>
      <c r="F592" s="7">
        <v>0</v>
      </c>
      <c r="G592" s="7">
        <v>0</v>
      </c>
      <c r="H592" s="7">
        <v>0</v>
      </c>
      <c r="I592" s="7">
        <v>0</v>
      </c>
      <c r="J592" s="7">
        <v>0</v>
      </c>
      <c r="K592" s="7">
        <f t="shared" ref="K592" si="874">IF(B592=0,"",B592-B540)</f>
        <v>184889</v>
      </c>
      <c r="L592" s="7">
        <f t="shared" ref="L592" si="875">IF(C592=0,"",C592-C540)</f>
        <v>184638</v>
      </c>
      <c r="M592" s="8">
        <f t="shared" ref="M592" si="876">IF(K592="","",B592/B540-1)</f>
        <v>7.2745121183506445</v>
      </c>
      <c r="N592" s="8">
        <f t="shared" ref="N592" si="877">IF(L592="","",C592/C540-1)</f>
        <v>7.2959260283715963</v>
      </c>
      <c r="O592" s="12">
        <f>21979+33</f>
        <v>22012</v>
      </c>
      <c r="Q592" s="3"/>
      <c r="R592" s="3"/>
      <c r="S592" s="6"/>
      <c r="T592" s="7"/>
      <c r="U592" s="7"/>
      <c r="V592" s="7"/>
      <c r="W592" s="7"/>
      <c r="X592" s="7"/>
      <c r="Y592" s="7"/>
      <c r="Z592" s="7"/>
      <c r="AA592" s="7"/>
      <c r="AB592" s="7"/>
      <c r="AC592" s="7"/>
      <c r="AD592" s="7"/>
      <c r="AE592" s="8"/>
      <c r="AF592" s="8"/>
      <c r="AG592" s="12"/>
    </row>
    <row r="593" spans="1:33" ht="19.7" customHeight="1" x14ac:dyDescent="0.25">
      <c r="A593" s="6">
        <v>43988</v>
      </c>
      <c r="B593" s="7">
        <f t="shared" ref="B593" si="878">IF(SUM(C593:J593)="","",SUM(C593:J593))</f>
        <v>211094</v>
      </c>
      <c r="C593" s="7">
        <f>209904+701</f>
        <v>210605</v>
      </c>
      <c r="D593" s="7">
        <v>300</v>
      </c>
      <c r="E593" s="7">
        <v>189</v>
      </c>
      <c r="F593" s="7">
        <v>0</v>
      </c>
      <c r="G593" s="7">
        <v>0</v>
      </c>
      <c r="H593" s="7">
        <v>0</v>
      </c>
      <c r="I593" s="7">
        <v>0</v>
      </c>
      <c r="J593" s="7">
        <v>0</v>
      </c>
      <c r="K593" s="7">
        <f t="shared" ref="K593" si="879">IF(B593=0,"",B593-B541)</f>
        <v>184613</v>
      </c>
      <c r="L593" s="7">
        <f t="shared" ref="L593" si="880">IF(C593=0,"",C593-C541)</f>
        <v>184297</v>
      </c>
      <c r="M593" s="8">
        <f t="shared" ref="M593" si="881">IF(K593="","",B593/B541-1)</f>
        <v>6.9715267550319098</v>
      </c>
      <c r="N593" s="8">
        <f t="shared" ref="N593" si="882">IF(L593="","",C593/C541-1)</f>
        <v>7.0053595864375851</v>
      </c>
      <c r="O593" s="12">
        <f>24336+31</f>
        <v>24367</v>
      </c>
      <c r="Q593" s="3"/>
      <c r="R593" s="3"/>
      <c r="S593" s="6"/>
      <c r="T593" s="7"/>
      <c r="U593" s="7"/>
      <c r="V593" s="7"/>
      <c r="W593" s="7"/>
      <c r="X593" s="7"/>
      <c r="Y593" s="7"/>
      <c r="Z593" s="7"/>
      <c r="AA593" s="7"/>
      <c r="AB593" s="7"/>
      <c r="AC593" s="7"/>
      <c r="AD593" s="7"/>
      <c r="AE593" s="8"/>
      <c r="AF593" s="8"/>
      <c r="AG593" s="12"/>
    </row>
    <row r="594" spans="1:33" ht="19.7" customHeight="1" x14ac:dyDescent="0.25">
      <c r="A594" s="6">
        <v>43995</v>
      </c>
      <c r="B594" s="7">
        <f t="shared" ref="B594" si="883">IF(SUM(C594:J594)="","",SUM(C594:J594))</f>
        <v>210034</v>
      </c>
      <c r="C594" s="7">
        <f>208812+717</f>
        <v>209529</v>
      </c>
      <c r="D594" s="7">
        <v>327</v>
      </c>
      <c r="E594" s="7">
        <v>178</v>
      </c>
      <c r="F594" s="7">
        <v>0</v>
      </c>
      <c r="G594" s="7">
        <v>0</v>
      </c>
      <c r="H594" s="7">
        <v>0</v>
      </c>
      <c r="I594" s="7">
        <v>0</v>
      </c>
      <c r="J594" s="7">
        <v>0</v>
      </c>
      <c r="K594" s="7">
        <f t="shared" ref="K594" si="884">IF(B594=0,"",B594-B542)</f>
        <v>183858</v>
      </c>
      <c r="L594" s="7">
        <f t="shared" ref="L594" si="885">IF(C594=0,"",C594-C542)</f>
        <v>183537</v>
      </c>
      <c r="M594" s="8">
        <f t="shared" ref="M594" si="886">IF(K594="","",B594/B542-1)</f>
        <v>7.0239150366748166</v>
      </c>
      <c r="N594" s="8">
        <f t="shared" ref="N594" si="887">IF(L594="","",C594/C542-1)</f>
        <v>7.0612880886426588</v>
      </c>
      <c r="O594" s="12">
        <f>22406+13</f>
        <v>22419</v>
      </c>
      <c r="Q594" s="3"/>
      <c r="R594" s="3"/>
      <c r="S594" s="6"/>
      <c r="T594" s="7"/>
      <c r="U594" s="7"/>
      <c r="V594" s="7"/>
      <c r="W594" s="7"/>
      <c r="X594" s="7"/>
      <c r="Y594" s="7"/>
      <c r="Z594" s="7"/>
      <c r="AA594" s="7"/>
      <c r="AB594" s="7"/>
      <c r="AC594" s="7"/>
      <c r="AD594" s="7"/>
      <c r="AE594" s="8"/>
      <c r="AF594" s="8"/>
      <c r="AG594" s="12"/>
    </row>
    <row r="595" spans="1:33" ht="19.7" customHeight="1" x14ac:dyDescent="0.25">
      <c r="A595" s="6">
        <v>44002</v>
      </c>
      <c r="B595" s="7">
        <f t="shared" ref="B595" si="888">IF(SUM(C595:J595)="","",SUM(C595:J595))</f>
        <v>218495</v>
      </c>
      <c r="C595" s="7">
        <f>216563+1371</f>
        <v>217934</v>
      </c>
      <c r="D595" s="7">
        <v>356</v>
      </c>
      <c r="E595" s="7">
        <v>205</v>
      </c>
      <c r="F595" s="7">
        <v>0</v>
      </c>
      <c r="G595" s="7">
        <v>0</v>
      </c>
      <c r="H595" s="7">
        <v>0</v>
      </c>
      <c r="I595" s="7">
        <v>0</v>
      </c>
      <c r="J595" s="7">
        <v>0</v>
      </c>
      <c r="K595" s="7">
        <f t="shared" ref="K595" si="889">IF(B595=0,"",B595-B543)</f>
        <v>191686</v>
      </c>
      <c r="L595" s="7">
        <f t="shared" ref="L595" si="890">IF(C595=0,"",C595-C543)</f>
        <v>191328</v>
      </c>
      <c r="M595" s="8">
        <f t="shared" ref="M595" si="891">IF(K595="","",B595/B543-1)</f>
        <v>7.1500615464955803</v>
      </c>
      <c r="N595" s="8">
        <f t="shared" ref="N595" si="892">IF(L595="","",C595/C543-1)</f>
        <v>7.191159888746899</v>
      </c>
      <c r="O595" s="12">
        <f>25853+33</f>
        <v>25886</v>
      </c>
      <c r="Q595" s="3"/>
      <c r="R595" s="3"/>
      <c r="S595" s="6"/>
      <c r="T595" s="7"/>
      <c r="U595" s="7"/>
      <c r="V595" s="7"/>
      <c r="W595" s="7"/>
      <c r="X595" s="7"/>
      <c r="Y595" s="7"/>
      <c r="Z595" s="7"/>
      <c r="AA595" s="7"/>
      <c r="AB595" s="7"/>
      <c r="AC595" s="7"/>
      <c r="AD595" s="7"/>
      <c r="AE595" s="8"/>
      <c r="AF595" s="8"/>
      <c r="AG595" s="12"/>
    </row>
    <row r="596" spans="1:33" ht="19.7" customHeight="1" x14ac:dyDescent="0.25">
      <c r="A596" s="6">
        <v>44009</v>
      </c>
      <c r="B596" s="7">
        <f t="shared" ref="B596" si="893">IF(SUM(C596:J596)="","",SUM(C596:J596))</f>
        <v>218066</v>
      </c>
      <c r="C596" s="7">
        <f>216613+892</f>
        <v>217505</v>
      </c>
      <c r="D596" s="7">
        <v>359</v>
      </c>
      <c r="E596" s="7">
        <v>202</v>
      </c>
      <c r="F596" s="7">
        <v>0</v>
      </c>
      <c r="G596" s="7">
        <v>0</v>
      </c>
      <c r="H596" s="7">
        <v>0</v>
      </c>
      <c r="I596" s="7">
        <v>0</v>
      </c>
      <c r="J596" s="7">
        <v>0</v>
      </c>
      <c r="K596" s="7">
        <f t="shared" ref="K596" si="894">IF(B596=0,"",B596-B544)</f>
        <v>191371</v>
      </c>
      <c r="L596" s="7">
        <f t="shared" ref="L596" si="895">IF(C596=0,"",C596-C544)</f>
        <v>191035</v>
      </c>
      <c r="M596" s="8">
        <f t="shared" ref="M596" si="896">IF(K596="","",B596/B544-1)</f>
        <v>7.1687956546169698</v>
      </c>
      <c r="N596" s="8">
        <f t="shared" ref="N596" si="897">IF(L596="","",C596/C544-1)</f>
        <v>7.2170381564034756</v>
      </c>
      <c r="O596" s="12">
        <f>26297+31</f>
        <v>26328</v>
      </c>
      <c r="Q596" s="3"/>
      <c r="R596" s="3"/>
      <c r="S596" s="6"/>
      <c r="T596" s="7"/>
      <c r="U596" s="7"/>
      <c r="V596" s="7"/>
      <c r="W596" s="7"/>
      <c r="X596" s="7"/>
      <c r="Y596" s="7"/>
      <c r="Z596" s="7"/>
      <c r="AA596" s="7"/>
      <c r="AB596" s="7"/>
      <c r="AC596" s="7"/>
      <c r="AD596" s="7"/>
      <c r="AE596" s="8"/>
      <c r="AF596" s="8"/>
      <c r="AG596" s="12"/>
    </row>
    <row r="597" spans="1:33" ht="19.7" customHeight="1" x14ac:dyDescent="0.25">
      <c r="A597" s="6">
        <v>44016</v>
      </c>
      <c r="B597" s="7">
        <f t="shared" ref="B597" si="898">IF(SUM(C597:J597)="","",SUM(C597:J597))</f>
        <v>217147</v>
      </c>
      <c r="C597" s="7">
        <f>215340+1263</f>
        <v>216603</v>
      </c>
      <c r="D597" s="7">
        <v>331</v>
      </c>
      <c r="E597" s="7">
        <v>213</v>
      </c>
      <c r="F597" s="7">
        <v>0</v>
      </c>
      <c r="G597" s="7">
        <v>0</v>
      </c>
      <c r="H597" s="7">
        <v>0</v>
      </c>
      <c r="I597" s="7">
        <v>0</v>
      </c>
      <c r="J597" s="7">
        <v>0</v>
      </c>
      <c r="K597" s="7">
        <f t="shared" ref="K597" si="899">IF(B597=0,"",B597-B545)</f>
        <v>190229</v>
      </c>
      <c r="L597" s="7">
        <f t="shared" ref="L597" si="900">IF(C597=0,"",C597-C545)</f>
        <v>189914</v>
      </c>
      <c r="M597" s="8">
        <f t="shared" ref="M597" si="901">IF(K597="","",B597/B545-1)</f>
        <v>7.0669812021695524</v>
      </c>
      <c r="N597" s="8">
        <f t="shared" ref="N597" si="902">IF(L597="","",C597/C545-1)</f>
        <v>7.115815504514968</v>
      </c>
      <c r="O597" s="12">
        <f>25745+29</f>
        <v>25774</v>
      </c>
      <c r="Q597" s="3"/>
      <c r="R597" s="3"/>
      <c r="S597" s="6"/>
      <c r="T597" s="7"/>
      <c r="U597" s="7"/>
      <c r="V597" s="7"/>
      <c r="W597" s="7"/>
      <c r="X597" s="7"/>
      <c r="Y597" s="7"/>
      <c r="Z597" s="7"/>
      <c r="AA597" s="7"/>
      <c r="AB597" s="7"/>
      <c r="AC597" s="7"/>
      <c r="AD597" s="7"/>
      <c r="AE597" s="8"/>
      <c r="AF597" s="8"/>
      <c r="AG597" s="12"/>
    </row>
    <row r="598" spans="1:33" ht="19.7" customHeight="1" x14ac:dyDescent="0.25">
      <c r="A598" s="6">
        <v>44023</v>
      </c>
      <c r="B598" s="7">
        <f t="shared" ref="B598" si="903">IF(SUM(C598:J598)="","",SUM(C598:J598))</f>
        <v>228017</v>
      </c>
      <c r="C598" s="7">
        <f>226597+823</f>
        <v>227420</v>
      </c>
      <c r="D598" s="7">
        <v>360</v>
      </c>
      <c r="E598" s="7">
        <v>237</v>
      </c>
      <c r="F598" s="7">
        <v>0</v>
      </c>
      <c r="G598" s="7">
        <v>0</v>
      </c>
      <c r="H598" s="7">
        <v>0</v>
      </c>
      <c r="I598" s="7">
        <v>0</v>
      </c>
      <c r="J598" s="7">
        <v>0</v>
      </c>
      <c r="K598" s="7">
        <f t="shared" ref="K598" si="904">IF(B598=0,"",B598-B546)</f>
        <v>200369</v>
      </c>
      <c r="L598" s="7">
        <f t="shared" ref="L598" si="905">IF(C598=0,"",C598-C546)</f>
        <v>200019</v>
      </c>
      <c r="M598" s="8">
        <f t="shared" ref="M598" si="906">IF(K598="","",B598/B546-1)</f>
        <v>7.2471426504629637</v>
      </c>
      <c r="N598" s="8">
        <f t="shared" ref="N598" si="907">IF(L598="","",C598/C546-1)</f>
        <v>7.2996970913470314</v>
      </c>
      <c r="O598" s="12">
        <f>28669+26</f>
        <v>28695</v>
      </c>
      <c r="Q598" s="3"/>
      <c r="R598" s="3"/>
      <c r="S598" s="6"/>
      <c r="T598" s="7"/>
      <c r="U598" s="7"/>
      <c r="V598" s="7"/>
      <c r="W598" s="7"/>
      <c r="X598" s="7"/>
      <c r="Y598" s="7"/>
      <c r="Z598" s="7"/>
      <c r="AA598" s="7"/>
      <c r="AB598" s="7"/>
      <c r="AC598" s="7"/>
      <c r="AD598" s="7"/>
      <c r="AE598" s="8"/>
      <c r="AF598" s="8"/>
      <c r="AG598" s="12"/>
    </row>
    <row r="599" spans="1:33" ht="19.7" customHeight="1" x14ac:dyDescent="0.25">
      <c r="A599" s="6">
        <v>44030</v>
      </c>
      <c r="B599" s="7">
        <f t="shared" ref="B599" si="908">IF(SUM(C599:J599)="","",SUM(C599:J599))</f>
        <v>229942</v>
      </c>
      <c r="C599" s="7">
        <f>228140+1212</f>
        <v>229352</v>
      </c>
      <c r="D599" s="7">
        <v>343</v>
      </c>
      <c r="E599" s="7">
        <v>242</v>
      </c>
      <c r="F599" s="7">
        <v>0</v>
      </c>
      <c r="G599" s="7">
        <v>0</v>
      </c>
      <c r="H599" s="7">
        <v>0</v>
      </c>
      <c r="I599" s="7">
        <v>0</v>
      </c>
      <c r="J599" s="7">
        <v>5</v>
      </c>
      <c r="K599" s="7">
        <f t="shared" ref="K599" si="909">IF(B599=0,"",B599-B547)</f>
        <v>200852</v>
      </c>
      <c r="L599" s="7">
        <f t="shared" ref="L599" si="910">IF(C599=0,"",C599-C547)</f>
        <v>200527</v>
      </c>
      <c r="M599" s="8">
        <f t="shared" ref="M599" si="911">IF(K599="","",B599/B547-1)</f>
        <v>6.9045032657270538</v>
      </c>
      <c r="N599" s="8">
        <f t="shared" ref="N599" si="912">IF(L599="","",C599/C547-1)</f>
        <v>6.9567042497831739</v>
      </c>
      <c r="O599" s="12">
        <f>21429+12</f>
        <v>21441</v>
      </c>
      <c r="Q599" s="3"/>
      <c r="R599" s="3"/>
      <c r="S599" s="6"/>
      <c r="T599" s="7"/>
      <c r="U599" s="7"/>
      <c r="V599" s="7"/>
      <c r="W599" s="7"/>
      <c r="X599" s="7"/>
      <c r="Y599" s="7"/>
      <c r="Z599" s="7"/>
      <c r="AA599" s="7"/>
      <c r="AB599" s="7"/>
      <c r="AC599" s="7"/>
      <c r="AD599" s="7"/>
      <c r="AE599" s="8"/>
      <c r="AF599" s="8"/>
      <c r="AG599" s="12"/>
    </row>
    <row r="600" spans="1:33" ht="19.7" customHeight="1" x14ac:dyDescent="0.25">
      <c r="A600" s="6">
        <v>44037</v>
      </c>
      <c r="B600" s="7">
        <f t="shared" ref="B600" si="913">IF(SUM(C600:J600)="","",SUM(C600:J600))</f>
        <v>231461</v>
      </c>
      <c r="C600" s="7">
        <f>229777+1046</f>
        <v>230823</v>
      </c>
      <c r="D600" s="7">
        <v>369</v>
      </c>
      <c r="E600" s="7">
        <v>249</v>
      </c>
      <c r="F600" s="7">
        <v>0</v>
      </c>
      <c r="G600" s="7">
        <v>0</v>
      </c>
      <c r="H600" s="7">
        <v>0</v>
      </c>
      <c r="I600" s="7">
        <v>0</v>
      </c>
      <c r="J600" s="7">
        <v>20</v>
      </c>
      <c r="K600" s="7">
        <f t="shared" ref="K600" si="914">IF(B600=0,"",B600-B548)</f>
        <v>201940</v>
      </c>
      <c r="L600" s="7">
        <f t="shared" ref="L600" si="915">IF(C600=0,"",C600-C548)</f>
        <v>201587</v>
      </c>
      <c r="M600" s="8">
        <f t="shared" ref="M600" si="916">IF(K600="","",B600/B548-1)</f>
        <v>6.8405541817689102</v>
      </c>
      <c r="N600" s="8">
        <f t="shared" ref="N600" si="917">IF(L600="","",C600/C548-1)</f>
        <v>6.8951634970584212</v>
      </c>
      <c r="O600" s="12">
        <f>19032+31</f>
        <v>19063</v>
      </c>
      <c r="Q600" s="3"/>
      <c r="R600" s="3"/>
      <c r="S600" s="6"/>
      <c r="T600" s="7"/>
      <c r="U600" s="7"/>
      <c r="V600" s="7"/>
      <c r="W600" s="7"/>
      <c r="X600" s="7"/>
      <c r="Y600" s="7"/>
      <c r="Z600" s="7"/>
      <c r="AA600" s="7"/>
      <c r="AB600" s="7"/>
      <c r="AC600" s="7"/>
      <c r="AD600" s="7"/>
      <c r="AE600" s="8"/>
      <c r="AF600" s="8"/>
      <c r="AG600" s="12"/>
    </row>
    <row r="601" spans="1:33" ht="19.7" customHeight="1" x14ac:dyDescent="0.25">
      <c r="A601" s="6">
        <v>44044</v>
      </c>
      <c r="B601" s="7">
        <f t="shared" ref="B601" si="918">IF(SUM(C601:J601)="","",SUM(C601:J601))</f>
        <v>233189</v>
      </c>
      <c r="C601" s="7">
        <f>231172+1325</f>
        <v>232497</v>
      </c>
      <c r="D601" s="7">
        <v>372</v>
      </c>
      <c r="E601" s="7">
        <v>272</v>
      </c>
      <c r="F601" s="7">
        <v>0</v>
      </c>
      <c r="G601" s="7">
        <v>0</v>
      </c>
      <c r="H601" s="7">
        <v>0</v>
      </c>
      <c r="I601" s="7">
        <v>0</v>
      </c>
      <c r="J601" s="7">
        <v>48</v>
      </c>
      <c r="K601" s="7">
        <f t="shared" ref="K601" si="919">IF(B601=0,"",B601-B549)</f>
        <v>203620</v>
      </c>
      <c r="L601" s="7">
        <f t="shared" ref="L601" si="920">IF(C601=0,"",C601-C549)</f>
        <v>203198</v>
      </c>
      <c r="M601" s="8">
        <f t="shared" ref="M601" si="921">IF(K601="","",B601/B549-1)</f>
        <v>6.8862660218472049</v>
      </c>
      <c r="N601" s="8">
        <f t="shared" ref="N601" si="922">IF(L601="","",C601/C549-1)</f>
        <v>6.9353220246424794</v>
      </c>
      <c r="O601" s="12">
        <f>15539+22</f>
        <v>15561</v>
      </c>
      <c r="Q601" s="3"/>
      <c r="R601" s="3"/>
      <c r="S601" s="6"/>
      <c r="T601" s="7"/>
      <c r="U601" s="7"/>
      <c r="V601" s="7"/>
      <c r="W601" s="7"/>
      <c r="X601" s="7"/>
      <c r="Y601" s="7"/>
      <c r="Z601" s="7"/>
      <c r="AA601" s="7"/>
      <c r="AB601" s="7"/>
      <c r="AC601" s="7"/>
      <c r="AD601" s="7"/>
      <c r="AE601" s="8"/>
      <c r="AF601" s="8"/>
      <c r="AG601" s="12"/>
    </row>
    <row r="602" spans="1:33" ht="19.7" customHeight="1" x14ac:dyDescent="0.25">
      <c r="A602" s="6">
        <v>44051</v>
      </c>
      <c r="B602" s="7">
        <f t="shared" ref="B602" si="923">IF(SUM(C602:J602)="","",SUM(C602:J602))</f>
        <v>220153</v>
      </c>
      <c r="C602" s="7">
        <f>218194+1266</f>
        <v>219460</v>
      </c>
      <c r="D602" s="7">
        <v>370</v>
      </c>
      <c r="E602" s="7">
        <v>251</v>
      </c>
      <c r="F602" s="7">
        <v>0</v>
      </c>
      <c r="G602" s="7">
        <v>0</v>
      </c>
      <c r="H602" s="7">
        <v>0</v>
      </c>
      <c r="I602" s="7">
        <v>0</v>
      </c>
      <c r="J602" s="7">
        <v>72</v>
      </c>
      <c r="K602" s="7">
        <f t="shared" ref="K602" si="924">IF(B602=0,"",B602-B550)</f>
        <v>191091</v>
      </c>
      <c r="L602" s="7">
        <f t="shared" ref="L602" si="925">IF(C602=0,"",C602-C550)</f>
        <v>190589</v>
      </c>
      <c r="M602" s="8">
        <f t="shared" ref="M602" si="926">IF(K602="","",B602/B550-1)</f>
        <v>6.5752873167710408</v>
      </c>
      <c r="N602" s="8">
        <f t="shared" ref="N602" si="927">IF(L602="","",C602/C550-1)</f>
        <v>6.6013993280454439</v>
      </c>
      <c r="O602" s="12">
        <f>11633+22</f>
        <v>11655</v>
      </c>
      <c r="Q602" s="3"/>
      <c r="R602" s="3"/>
      <c r="S602" s="6"/>
      <c r="T602" s="7"/>
      <c r="U602" s="7"/>
      <c r="V602" s="7"/>
      <c r="W602" s="7"/>
      <c r="X602" s="7"/>
      <c r="Y602" s="7"/>
      <c r="Z602" s="7"/>
      <c r="AA602" s="7"/>
      <c r="AB602" s="7"/>
      <c r="AC602" s="7"/>
      <c r="AD602" s="7"/>
      <c r="AE602" s="8"/>
      <c r="AF602" s="8"/>
      <c r="AG602" s="12"/>
    </row>
    <row r="603" spans="1:33" ht="19.7" customHeight="1" x14ac:dyDescent="0.25">
      <c r="A603" s="6">
        <v>44058</v>
      </c>
      <c r="B603" s="7">
        <f t="shared" ref="B603" si="928">IF(SUM(C603:J603)="","",SUM(C603:J603))</f>
        <v>211931</v>
      </c>
      <c r="C603" s="7">
        <f>210159+1054</f>
        <v>211213</v>
      </c>
      <c r="D603" s="7">
        <v>359</v>
      </c>
      <c r="E603" s="7">
        <v>261</v>
      </c>
      <c r="F603" s="7">
        <v>0</v>
      </c>
      <c r="G603" s="7">
        <v>0</v>
      </c>
      <c r="H603" s="7">
        <v>0</v>
      </c>
      <c r="I603" s="7">
        <v>0</v>
      </c>
      <c r="J603" s="7">
        <v>98</v>
      </c>
      <c r="K603" s="7">
        <f t="shared" ref="K603" si="929">IF(B603=0,"",B603-B551)</f>
        <v>183162</v>
      </c>
      <c r="L603" s="7">
        <f t="shared" ref="L603" si="930">IF(C603=0,"",C603-C551)</f>
        <v>182594</v>
      </c>
      <c r="M603" s="8">
        <f t="shared" ref="M603" si="931">IF(K603="","",B603/B551-1)</f>
        <v>6.366644652229831</v>
      </c>
      <c r="N603" s="8">
        <f t="shared" ref="N603" si="932">IF(L603="","",C603/C551-1)</f>
        <v>6.3801670219085223</v>
      </c>
      <c r="O603" s="12">
        <f>12763+12</f>
        <v>12775</v>
      </c>
      <c r="Q603" s="3"/>
      <c r="R603" s="3"/>
      <c r="S603" s="6"/>
      <c r="T603" s="7"/>
      <c r="U603" s="7"/>
      <c r="V603" s="7"/>
      <c r="W603" s="7"/>
      <c r="X603" s="7"/>
      <c r="Y603" s="7"/>
      <c r="Z603" s="7"/>
      <c r="AA603" s="7"/>
      <c r="AB603" s="7"/>
      <c r="AC603" s="7"/>
      <c r="AD603" s="7"/>
      <c r="AE603" s="8"/>
      <c r="AF603" s="8"/>
      <c r="AG603" s="12"/>
    </row>
    <row r="604" spans="1:33" ht="19.7" customHeight="1" x14ac:dyDescent="0.25">
      <c r="A604" s="6">
        <v>44065</v>
      </c>
      <c r="B604" s="7">
        <f t="shared" ref="B604" si="933">IF(SUM(C604:J604)="","",SUM(C604:J604))</f>
        <v>206722</v>
      </c>
      <c r="C604" s="7">
        <f>205196+783</f>
        <v>205979</v>
      </c>
      <c r="D604" s="7">
        <v>371</v>
      </c>
      <c r="E604" s="7">
        <v>239</v>
      </c>
      <c r="F604" s="7">
        <v>0</v>
      </c>
      <c r="G604" s="7">
        <v>0</v>
      </c>
      <c r="H604" s="7">
        <v>0</v>
      </c>
      <c r="I604" s="7">
        <v>0</v>
      </c>
      <c r="J604" s="7">
        <v>133</v>
      </c>
      <c r="K604" s="7">
        <f t="shared" ref="K604" si="934">IF(B604=0,"",B604-B552)</f>
        <v>178789</v>
      </c>
      <c r="L604" s="7">
        <f t="shared" ref="L604" si="935">IF(C604=0,"",C604-C552)</f>
        <v>178174</v>
      </c>
      <c r="M604" s="8">
        <f t="shared" ref="M604" si="936">IF(K604="","",B604/B552-1)</f>
        <v>6.4006372391078656</v>
      </c>
      <c r="N604" s="8">
        <f t="shared" ref="N604" si="937">IF(L604="","",C604/C552-1)</f>
        <v>6.4079841755080018</v>
      </c>
      <c r="O604" s="12">
        <f>12462+25</f>
        <v>12487</v>
      </c>
      <c r="Q604" s="3"/>
      <c r="R604" s="3"/>
      <c r="S604" s="6"/>
      <c r="T604" s="7"/>
      <c r="U604" s="7"/>
      <c r="V604" s="7"/>
      <c r="W604" s="7"/>
      <c r="X604" s="7"/>
      <c r="Y604" s="7"/>
      <c r="Z604" s="7"/>
      <c r="AA604" s="7"/>
      <c r="AB604" s="7"/>
      <c r="AC604" s="7"/>
      <c r="AD604" s="7"/>
      <c r="AE604" s="8"/>
      <c r="AF604" s="8"/>
      <c r="AG604" s="12"/>
    </row>
    <row r="605" spans="1:33" ht="19.7" customHeight="1" x14ac:dyDescent="0.25">
      <c r="A605" s="6">
        <v>44072</v>
      </c>
      <c r="B605" s="7">
        <f t="shared" ref="B605" si="938">IF(SUM(C605:J605)="","",SUM(C605:J605))</f>
        <v>203470</v>
      </c>
      <c r="C605" s="7">
        <f>201911+806</f>
        <v>202717</v>
      </c>
      <c r="D605" s="7">
        <v>352</v>
      </c>
      <c r="E605" s="7">
        <v>233</v>
      </c>
      <c r="F605" s="7">
        <v>0</v>
      </c>
      <c r="G605" s="7">
        <v>0</v>
      </c>
      <c r="H605" s="7">
        <v>0</v>
      </c>
      <c r="I605" s="7">
        <v>0</v>
      </c>
      <c r="J605" s="7">
        <v>168</v>
      </c>
      <c r="K605" s="7">
        <f t="shared" ref="K605" si="939">IF(B605=0,"",B605-B553)</f>
        <v>176083</v>
      </c>
      <c r="L605" s="7">
        <f t="shared" ref="L605" si="940">IF(C605=0,"",C605-C553)</f>
        <v>175454</v>
      </c>
      <c r="M605" s="8">
        <f t="shared" ref="M605" si="941">IF(K605="","",B605/B553-1)</f>
        <v>6.4294373242779423</v>
      </c>
      <c r="N605" s="8">
        <f t="shared" ref="N605" si="942">IF(L605="","",C605/C553-1)</f>
        <v>6.4356087004364886</v>
      </c>
      <c r="O605" s="12">
        <f>11693+12</f>
        <v>11705</v>
      </c>
      <c r="Q605" s="3"/>
      <c r="R605" s="3"/>
      <c r="S605" s="6"/>
      <c r="T605" s="7"/>
      <c r="U605" s="7"/>
      <c r="V605" s="7"/>
      <c r="W605" s="7"/>
      <c r="X605" s="7"/>
      <c r="Y605" s="7"/>
      <c r="Z605" s="7"/>
      <c r="AA605" s="7"/>
      <c r="AB605" s="7"/>
      <c r="AC605" s="7"/>
      <c r="AD605" s="7"/>
      <c r="AE605" s="8"/>
      <c r="AF605" s="8"/>
      <c r="AG605" s="12"/>
    </row>
    <row r="606" spans="1:33" ht="19.7" customHeight="1" x14ac:dyDescent="0.25">
      <c r="A606" s="6">
        <v>44079</v>
      </c>
      <c r="B606" s="7">
        <f t="shared" ref="B606" si="943">IF(SUM(C606:J606)="","",SUM(C606:J606))</f>
        <v>201001</v>
      </c>
      <c r="C606" s="7">
        <f>199153+1032</f>
        <v>200185</v>
      </c>
      <c r="D606" s="7">
        <v>357</v>
      </c>
      <c r="E606" s="7">
        <v>242</v>
      </c>
      <c r="F606" s="7">
        <v>0</v>
      </c>
      <c r="G606" s="7">
        <v>0</v>
      </c>
      <c r="H606" s="7">
        <v>0</v>
      </c>
      <c r="I606" s="7">
        <v>0</v>
      </c>
      <c r="J606" s="7">
        <v>217</v>
      </c>
      <c r="K606" s="7">
        <f t="shared" ref="K606" si="944">IF(B606=0,"",B606-B554)</f>
        <v>174893</v>
      </c>
      <c r="L606" s="7">
        <f t="shared" ref="L606" si="945">IF(C606=0,"",C606-C554)</f>
        <v>174199</v>
      </c>
      <c r="M606" s="8">
        <f t="shared" ref="M606" si="946">IF(K606="","",B606/B554-1)</f>
        <v>6.6988279454573307</v>
      </c>
      <c r="N606" s="8">
        <f t="shared" ref="N606" si="947">IF(L606="","",C606/C554-1)</f>
        <v>6.703571153698145</v>
      </c>
      <c r="O606" s="12">
        <f>11327+16</f>
        <v>11343</v>
      </c>
      <c r="Q606" s="3"/>
      <c r="R606" s="3"/>
      <c r="S606" s="6"/>
      <c r="T606" s="7"/>
      <c r="U606" s="7"/>
      <c r="V606" s="7"/>
      <c r="W606" s="7"/>
      <c r="X606" s="7"/>
      <c r="Y606" s="7"/>
      <c r="Z606" s="7"/>
      <c r="AA606" s="7"/>
      <c r="AB606" s="7"/>
      <c r="AC606" s="7"/>
      <c r="AD606" s="7"/>
      <c r="AE606" s="8"/>
      <c r="AF606" s="8"/>
      <c r="AG606" s="12"/>
    </row>
    <row r="607" spans="1:33" ht="19.7" customHeight="1" x14ac:dyDescent="0.25">
      <c r="A607" s="6">
        <v>44086</v>
      </c>
      <c r="B607" s="7">
        <f t="shared" ref="B607" si="948">IF(SUM(C607:J607)="","",SUM(C607:J607))</f>
        <v>195453</v>
      </c>
      <c r="C607" s="7">
        <f>193659+820</f>
        <v>194479</v>
      </c>
      <c r="D607" s="7">
        <v>356</v>
      </c>
      <c r="E607" s="7">
        <v>240</v>
      </c>
      <c r="F607" s="7">
        <v>0</v>
      </c>
      <c r="G607" s="7">
        <v>0</v>
      </c>
      <c r="H607" s="7">
        <v>0</v>
      </c>
      <c r="I607" s="7">
        <v>0</v>
      </c>
      <c r="J607" s="7">
        <v>378</v>
      </c>
      <c r="K607" s="7">
        <f t="shared" ref="K607" si="949">IF(B607=0,"",B607-B555)</f>
        <v>169913</v>
      </c>
      <c r="L607" s="7">
        <f t="shared" ref="L607" si="950">IF(C607=0,"",C607-C555)</f>
        <v>169052</v>
      </c>
      <c r="M607" s="8">
        <f t="shared" ref="M607" si="951">IF(K607="","",B607/B555-1)</f>
        <v>6.6528191072826939</v>
      </c>
      <c r="N607" s="8">
        <f t="shared" ref="N607" si="952">IF(L607="","",C607/C555-1)</f>
        <v>6.6485232233452631</v>
      </c>
      <c r="O607" s="12">
        <f>10007+8</f>
        <v>10015</v>
      </c>
      <c r="Q607" s="3"/>
      <c r="R607" s="3"/>
      <c r="S607" s="6"/>
      <c r="T607" s="7"/>
      <c r="U607" s="7"/>
      <c r="V607" s="7"/>
      <c r="W607" s="7"/>
      <c r="X607" s="7"/>
      <c r="Y607" s="7"/>
      <c r="Z607" s="7"/>
      <c r="AA607" s="7"/>
      <c r="AB607" s="7"/>
      <c r="AC607" s="7"/>
      <c r="AD607" s="7"/>
      <c r="AE607" s="8"/>
      <c r="AF607" s="8"/>
      <c r="AG607" s="12"/>
    </row>
    <row r="608" spans="1:33" ht="19.7" customHeight="1" x14ac:dyDescent="0.25">
      <c r="A608" s="6">
        <v>44093</v>
      </c>
      <c r="B608" s="7">
        <f t="shared" ref="B608" si="953">IF(SUM(C608:J608)="","",SUM(C608:J608))</f>
        <v>191759</v>
      </c>
      <c r="C608" s="7">
        <f>189910+598</f>
        <v>190508</v>
      </c>
      <c r="D608" s="7">
        <v>269</v>
      </c>
      <c r="E608" s="7">
        <v>261</v>
      </c>
      <c r="F608" s="7">
        <v>0</v>
      </c>
      <c r="G608" s="7">
        <v>0</v>
      </c>
      <c r="H608" s="7">
        <v>0</v>
      </c>
      <c r="I608" s="7">
        <v>0</v>
      </c>
      <c r="J608" s="7">
        <v>721</v>
      </c>
      <c r="K608" s="7">
        <f t="shared" ref="K608" si="954">IF(B608=0,"",B608-B556)</f>
        <v>167277</v>
      </c>
      <c r="L608" s="7">
        <f t="shared" ref="L608" si="955">IF(C608=0,"",C608-C556)</f>
        <v>166146</v>
      </c>
      <c r="M608" s="8">
        <f t="shared" ref="M608" si="956">IF(K608="","",B608/B556-1)</f>
        <v>6.8326525610652729</v>
      </c>
      <c r="N608" s="8">
        <f t="shared" ref="N608" si="957">IF(L608="","",C608/C556-1)</f>
        <v>6.8198834250061573</v>
      </c>
      <c r="O608" s="12">
        <f>9056+9</f>
        <v>9065</v>
      </c>
      <c r="Q608" s="3"/>
      <c r="R608" s="3"/>
      <c r="S608" s="6"/>
      <c r="T608" s="7"/>
      <c r="U608" s="7"/>
      <c r="V608" s="7"/>
      <c r="W608" s="7"/>
      <c r="X608" s="7"/>
      <c r="Y608" s="7"/>
      <c r="Z608" s="7"/>
      <c r="AA608" s="7"/>
      <c r="AB608" s="7"/>
      <c r="AC608" s="7"/>
      <c r="AD608" s="7"/>
      <c r="AE608" s="8"/>
      <c r="AF608" s="8"/>
      <c r="AG608" s="12"/>
    </row>
    <row r="609" spans="1:33" ht="19.7" customHeight="1" x14ac:dyDescent="0.25">
      <c r="A609" s="6">
        <v>44100</v>
      </c>
      <c r="B609" s="7">
        <f t="shared" ref="B609" si="958">IF(SUM(C609:J609)="","",SUM(C609:J609))</f>
        <v>177300</v>
      </c>
      <c r="C609" s="7">
        <f>175291+547</f>
        <v>175838</v>
      </c>
      <c r="D609" s="7">
        <v>203</v>
      </c>
      <c r="E609" s="7">
        <v>247</v>
      </c>
      <c r="F609" s="7">
        <v>0</v>
      </c>
      <c r="G609" s="7">
        <v>0</v>
      </c>
      <c r="H609" s="7">
        <v>0</v>
      </c>
      <c r="I609" s="7">
        <v>0</v>
      </c>
      <c r="J609" s="7">
        <v>1012</v>
      </c>
      <c r="K609" s="7">
        <f t="shared" ref="K609" si="959">IF(B609=0,"",B609-B557)</f>
        <v>153563</v>
      </c>
      <c r="L609" s="7">
        <f t="shared" ref="L609" si="960">IF(C609=0,"",C609-C557)</f>
        <v>152227</v>
      </c>
      <c r="M609" s="8">
        <f t="shared" ref="M609" si="961">IF(K609="","",B609/B557-1)</f>
        <v>6.4693516451110078</v>
      </c>
      <c r="N609" s="8">
        <f t="shared" ref="N609" si="962">IF(L609="","",C609/C557-1)</f>
        <v>6.4472915166659606</v>
      </c>
      <c r="O609" s="12">
        <f>8207+1</f>
        <v>8208</v>
      </c>
      <c r="Q609" s="3"/>
      <c r="R609" s="3"/>
      <c r="S609" s="6"/>
      <c r="T609" s="7"/>
      <c r="U609" s="7"/>
      <c r="V609" s="7"/>
      <c r="W609" s="7"/>
      <c r="X609" s="7"/>
      <c r="Y609" s="7"/>
      <c r="Z609" s="7"/>
      <c r="AA609" s="7"/>
      <c r="AB609" s="7"/>
      <c r="AC609" s="7"/>
      <c r="AD609" s="7"/>
      <c r="AE609" s="8"/>
      <c r="AF609" s="8"/>
      <c r="AG609" s="12"/>
    </row>
    <row r="610" spans="1:33" ht="19.7" customHeight="1" x14ac:dyDescent="0.25">
      <c r="A610" s="6">
        <v>44107</v>
      </c>
      <c r="B610" s="7">
        <f t="shared" ref="B610" si="963">IF(SUM(C610:J610)="","",SUM(C610:J610))</f>
        <v>170770</v>
      </c>
      <c r="C610" s="7">
        <f>168266+682</f>
        <v>168948</v>
      </c>
      <c r="D610" s="7">
        <v>193</v>
      </c>
      <c r="E610" s="7">
        <v>255</v>
      </c>
      <c r="F610" s="7">
        <v>0</v>
      </c>
      <c r="G610" s="7">
        <v>0</v>
      </c>
      <c r="H610" s="7">
        <v>0</v>
      </c>
      <c r="I610" s="7">
        <v>0</v>
      </c>
      <c r="J610" s="7">
        <v>1374</v>
      </c>
      <c r="K610" s="7">
        <f t="shared" ref="K610" si="964">IF(B610=0,"",B610-B558)</f>
        <v>147368</v>
      </c>
      <c r="L610" s="7">
        <f t="shared" ref="L610" si="965">IF(C610=0,"",C610-C558)</f>
        <v>145664</v>
      </c>
      <c r="M610" s="8">
        <f t="shared" ref="M610" si="966">IF(K610="","",B610/B558-1)</f>
        <v>6.2972395521750277</v>
      </c>
      <c r="N610" s="8">
        <f t="shared" ref="N610" si="967">IF(L610="","",C610/C558-1)</f>
        <v>6.2559697646452497</v>
      </c>
      <c r="O610" s="12">
        <f>7964+2</f>
        <v>7966</v>
      </c>
      <c r="Q610" s="3"/>
      <c r="R610" s="3"/>
      <c r="S610" s="6"/>
      <c r="T610" s="7"/>
      <c r="U610" s="7"/>
      <c r="V610" s="7"/>
      <c r="W610" s="7"/>
      <c r="X610" s="7"/>
      <c r="Y610" s="7"/>
      <c r="Z610" s="7"/>
      <c r="AA610" s="7"/>
      <c r="AB610" s="7"/>
      <c r="AC610" s="7"/>
      <c r="AD610" s="7"/>
      <c r="AE610" s="8"/>
      <c r="AF610" s="8"/>
      <c r="AG610" s="12"/>
    </row>
    <row r="611" spans="1:33" ht="19.7" customHeight="1" x14ac:dyDescent="0.25">
      <c r="A611" s="6">
        <v>44114</v>
      </c>
      <c r="B611" s="7">
        <f t="shared" ref="B611" si="968">IF(SUM(C611:J611)="","",SUM(C611:J611))</f>
        <v>153725</v>
      </c>
      <c r="C611" s="7">
        <f>150608+829</f>
        <v>151437</v>
      </c>
      <c r="D611" s="7">
        <v>211</v>
      </c>
      <c r="E611" s="7">
        <v>286</v>
      </c>
      <c r="F611" s="7">
        <v>0</v>
      </c>
      <c r="G611" s="7">
        <v>0</v>
      </c>
      <c r="H611" s="7">
        <v>0</v>
      </c>
      <c r="I611" s="7">
        <v>0</v>
      </c>
      <c r="J611" s="7">
        <v>1791</v>
      </c>
      <c r="K611" s="7">
        <f t="shared" ref="K611" si="969">IF(B611=0,"",B611-B559)</f>
        <v>131292</v>
      </c>
      <c r="L611" s="7">
        <f t="shared" ref="L611" si="970">IF(C611=0,"",C611-C559)</f>
        <v>129146</v>
      </c>
      <c r="M611" s="8">
        <f t="shared" ref="M611" si="971">IF(K611="","",B611/B559-1)</f>
        <v>5.8526278250791242</v>
      </c>
      <c r="N611" s="8">
        <f t="shared" ref="N611" si="972">IF(L611="","",C611/C559-1)</f>
        <v>5.7936386882598354</v>
      </c>
      <c r="O611" s="12">
        <f>7920+5</f>
        <v>7925</v>
      </c>
      <c r="Q611" s="3"/>
      <c r="R611" s="3"/>
      <c r="S611" s="6"/>
      <c r="T611" s="7"/>
      <c r="U611" s="7"/>
      <c r="V611" s="7"/>
      <c r="W611" s="7"/>
      <c r="X611" s="7"/>
      <c r="Y611" s="7"/>
      <c r="Z611" s="7"/>
      <c r="AA611" s="7"/>
      <c r="AB611" s="7"/>
      <c r="AC611" s="7"/>
      <c r="AD611" s="7"/>
      <c r="AE611" s="8"/>
      <c r="AF611" s="8"/>
      <c r="AG611" s="12"/>
    </row>
    <row r="612" spans="1:33" ht="15" x14ac:dyDescent="0.25">
      <c r="B612" s="3"/>
      <c r="C612" s="21" t="s">
        <v>21</v>
      </c>
      <c r="D612" s="22"/>
      <c r="E612" s="22"/>
      <c r="F612" s="22"/>
      <c r="G612" s="22"/>
      <c r="H612" s="22"/>
      <c r="I612" s="22"/>
      <c r="J612" s="22"/>
      <c r="K612" s="22"/>
      <c r="L612" s="22"/>
      <c r="M612" s="22"/>
      <c r="N612" s="22"/>
      <c r="O612" s="22"/>
      <c r="T612" s="3"/>
      <c r="U612" s="3"/>
      <c r="V612" s="3"/>
      <c r="W612" s="3"/>
      <c r="X612" s="3"/>
      <c r="Y612" s="3"/>
      <c r="Z612" s="3"/>
      <c r="AA612" s="3"/>
      <c r="AB612" s="3"/>
      <c r="AC612" s="3"/>
      <c r="AD612" s="3"/>
      <c r="AE612" s="4"/>
      <c r="AF612" s="4"/>
    </row>
    <row r="613" spans="1:33" ht="15" x14ac:dyDescent="0.25">
      <c r="B613" s="3"/>
      <c r="C613" s="23" t="s">
        <v>22</v>
      </c>
      <c r="D613" s="22"/>
      <c r="E613" s="22"/>
      <c r="F613" s="22"/>
      <c r="G613" s="22"/>
      <c r="H613" s="22"/>
      <c r="I613" s="22"/>
      <c r="J613" s="22"/>
      <c r="K613" s="22"/>
      <c r="L613" s="22"/>
      <c r="M613" s="22"/>
      <c r="N613" s="22"/>
      <c r="O613" s="22"/>
      <c r="T613" s="3"/>
      <c r="U613" s="3"/>
      <c r="V613" s="3"/>
      <c r="W613" s="3"/>
      <c r="X613" s="3"/>
      <c r="Y613" s="3"/>
      <c r="Z613" s="3"/>
      <c r="AA613" s="3"/>
      <c r="AB613" s="3"/>
      <c r="AC613" s="3"/>
      <c r="AD613" s="3"/>
      <c r="AE613" s="4"/>
      <c r="AF613" s="4"/>
    </row>
    <row r="614" spans="1:33" ht="15.75" x14ac:dyDescent="0.25">
      <c r="B614" s="3"/>
      <c r="C614" s="24" t="s">
        <v>23</v>
      </c>
      <c r="D614" s="25"/>
      <c r="E614" s="25"/>
      <c r="F614" s="25"/>
      <c r="G614" s="25"/>
      <c r="H614" s="25"/>
      <c r="I614" s="25"/>
      <c r="J614" s="25"/>
      <c r="K614" s="25"/>
      <c r="L614" s="25"/>
      <c r="M614" s="25"/>
      <c r="N614" s="25"/>
      <c r="O614" s="25"/>
      <c r="T614" s="3"/>
      <c r="U614" s="3"/>
      <c r="V614" s="3"/>
      <c r="W614" s="3"/>
      <c r="X614" s="3"/>
      <c r="Y614" s="3"/>
      <c r="Z614" s="3"/>
      <c r="AA614" s="3"/>
      <c r="AB614" s="3"/>
      <c r="AC614" s="3"/>
      <c r="AD614" s="3"/>
      <c r="AE614" s="4"/>
      <c r="AF614" s="4"/>
    </row>
    <row r="615" spans="1:33" x14ac:dyDescent="0.25">
      <c r="B615" s="13" t="s">
        <v>19</v>
      </c>
      <c r="C615" s="3"/>
      <c r="D615" s="3"/>
      <c r="E615" s="3"/>
      <c r="F615" s="3"/>
      <c r="G615" s="3"/>
      <c r="H615" s="3"/>
      <c r="I615" s="3"/>
      <c r="J615" s="3"/>
      <c r="K615" s="3"/>
      <c r="L615" s="3"/>
      <c r="M615" s="4"/>
      <c r="N615" s="4"/>
      <c r="T615" s="13"/>
      <c r="U615" s="3"/>
      <c r="V615" s="3"/>
      <c r="W615" s="3"/>
      <c r="X615" s="3"/>
      <c r="Y615" s="3"/>
      <c r="Z615" s="3"/>
      <c r="AA615" s="3"/>
      <c r="AB615" s="3"/>
      <c r="AC615" s="3"/>
      <c r="AD615" s="3"/>
      <c r="AE615" s="4"/>
      <c r="AF615" s="4"/>
    </row>
    <row r="616" spans="1:33" x14ac:dyDescent="0.25">
      <c r="B616" s="16" t="s">
        <v>20</v>
      </c>
      <c r="C616" s="3"/>
      <c r="D616" s="3"/>
      <c r="E616" s="3"/>
      <c r="F616" s="3"/>
      <c r="G616" s="3"/>
      <c r="H616" s="3"/>
      <c r="I616" s="3"/>
      <c r="J616" s="3"/>
      <c r="K616" s="3"/>
      <c r="L616" s="3"/>
      <c r="M616" s="4"/>
      <c r="N616" s="4"/>
    </row>
    <row r="617" spans="1:33" ht="15" x14ac:dyDescent="0.25">
      <c r="B617" s="18" t="s">
        <v>25</v>
      </c>
      <c r="C617" s="3"/>
      <c r="D617" s="3"/>
      <c r="E617" s="3"/>
      <c r="F617" s="3"/>
      <c r="G617" s="3"/>
      <c r="H617" s="3"/>
      <c r="I617" s="3"/>
      <c r="J617" s="3"/>
      <c r="K617" s="3"/>
      <c r="L617" s="3"/>
      <c r="M617" s="4"/>
      <c r="N617" s="4"/>
    </row>
    <row r="618" spans="1:33" x14ac:dyDescent="0.25">
      <c r="B618" s="3"/>
      <c r="C618" s="3"/>
      <c r="D618" s="3"/>
      <c r="E618" s="3"/>
      <c r="F618" s="3"/>
      <c r="G618" s="3"/>
      <c r="H618" s="3"/>
      <c r="I618" s="3"/>
      <c r="J618" s="3"/>
      <c r="K618" s="3" t="str">
        <f t="shared" ref="K618:K661" si="973">IF(B618=0,"",B618-B453)</f>
        <v/>
      </c>
      <c r="L618" s="3"/>
      <c r="M618" s="4"/>
      <c r="N618" s="4"/>
    </row>
    <row r="619" spans="1:33" x14ac:dyDescent="0.25">
      <c r="B619" s="3"/>
      <c r="C619" s="3"/>
      <c r="D619" s="3"/>
      <c r="E619" s="3"/>
      <c r="F619" s="3"/>
      <c r="G619" s="3"/>
      <c r="H619" s="3"/>
      <c r="I619" s="3"/>
      <c r="J619" s="3"/>
      <c r="K619" s="3" t="str">
        <f t="shared" si="973"/>
        <v/>
      </c>
      <c r="L619" s="3"/>
      <c r="M619" s="4"/>
      <c r="N619" s="4"/>
    </row>
    <row r="620" spans="1:33" x14ac:dyDescent="0.25">
      <c r="B620" s="3"/>
      <c r="C620" s="3"/>
      <c r="D620" s="3"/>
      <c r="E620" s="3"/>
      <c r="F620" s="3"/>
      <c r="G620" s="3"/>
      <c r="H620" s="3"/>
      <c r="I620" s="3"/>
      <c r="J620" s="3"/>
      <c r="K620" s="3" t="str">
        <f t="shared" si="973"/>
        <v/>
      </c>
      <c r="L620" s="3"/>
      <c r="M620" s="4"/>
      <c r="N620" s="4"/>
    </row>
    <row r="621" spans="1:33" x14ac:dyDescent="0.25">
      <c r="B621" s="3"/>
      <c r="C621" s="3"/>
      <c r="D621" s="3"/>
      <c r="E621" s="3"/>
      <c r="F621" s="3"/>
      <c r="G621" s="3"/>
      <c r="H621" s="3"/>
      <c r="I621" s="3"/>
      <c r="J621" s="3"/>
      <c r="K621" s="3" t="str">
        <f t="shared" si="973"/>
        <v/>
      </c>
      <c r="L621" s="3"/>
      <c r="M621" s="4"/>
      <c r="N621" s="4"/>
    </row>
    <row r="622" spans="1:33" x14ac:dyDescent="0.25">
      <c r="B622" s="3"/>
      <c r="C622" s="3"/>
      <c r="D622" s="3"/>
      <c r="E622" s="3"/>
      <c r="F622" s="3"/>
      <c r="G622" s="3"/>
      <c r="H622" s="3"/>
      <c r="I622" s="3"/>
      <c r="J622" s="3"/>
      <c r="K622" s="3" t="str">
        <f t="shared" si="973"/>
        <v/>
      </c>
      <c r="L622" s="3"/>
      <c r="M622" s="4"/>
      <c r="N622" s="4"/>
    </row>
    <row r="623" spans="1:33" x14ac:dyDescent="0.25">
      <c r="B623" s="3"/>
      <c r="C623" s="3"/>
      <c r="D623" s="3"/>
      <c r="E623" s="3"/>
      <c r="F623" s="3"/>
      <c r="G623" s="3"/>
      <c r="H623" s="3"/>
      <c r="I623" s="3"/>
      <c r="J623" s="3"/>
      <c r="K623" s="3" t="str">
        <f t="shared" si="973"/>
        <v/>
      </c>
      <c r="L623" s="3"/>
      <c r="M623" s="4"/>
      <c r="N623" s="4"/>
    </row>
    <row r="624" spans="1:33" x14ac:dyDescent="0.25">
      <c r="B624" s="3"/>
      <c r="C624" s="3"/>
      <c r="D624" s="3"/>
      <c r="E624" s="3"/>
      <c r="F624" s="3"/>
      <c r="G624" s="3"/>
      <c r="H624" s="3"/>
      <c r="I624" s="3"/>
      <c r="J624" s="3"/>
      <c r="K624" s="3" t="str">
        <f t="shared" si="973"/>
        <v/>
      </c>
      <c r="L624" s="3"/>
      <c r="M624" s="4"/>
      <c r="N624" s="4"/>
    </row>
    <row r="625" spans="2:14" x14ac:dyDescent="0.25">
      <c r="B625" s="3"/>
      <c r="C625" s="3"/>
      <c r="D625" s="3"/>
      <c r="E625" s="3"/>
      <c r="F625" s="3"/>
      <c r="G625" s="3"/>
      <c r="H625" s="3"/>
      <c r="I625" s="3"/>
      <c r="J625" s="3"/>
      <c r="K625" s="3" t="str">
        <f t="shared" si="973"/>
        <v/>
      </c>
      <c r="L625" s="3"/>
      <c r="M625" s="4"/>
      <c r="N625" s="4"/>
    </row>
    <row r="626" spans="2:14" x14ac:dyDescent="0.25">
      <c r="B626" s="3"/>
      <c r="C626" s="3"/>
      <c r="D626" s="3"/>
      <c r="E626" s="3"/>
      <c r="F626" s="3"/>
      <c r="G626" s="3"/>
      <c r="H626" s="3"/>
      <c r="I626" s="3"/>
      <c r="J626" s="3"/>
      <c r="K626" s="3" t="str">
        <f t="shared" si="973"/>
        <v/>
      </c>
      <c r="L626" s="3"/>
      <c r="M626" s="4"/>
      <c r="N626" s="4"/>
    </row>
    <row r="627" spans="2:14" x14ac:dyDescent="0.25">
      <c r="B627" s="3"/>
      <c r="C627" s="3"/>
      <c r="D627" s="3"/>
      <c r="E627" s="3"/>
      <c r="F627" s="3"/>
      <c r="G627" s="3"/>
      <c r="H627" s="3"/>
      <c r="I627" s="3"/>
      <c r="J627" s="3"/>
      <c r="K627" s="3" t="str">
        <f t="shared" si="973"/>
        <v/>
      </c>
      <c r="L627" s="3"/>
      <c r="M627" s="4"/>
      <c r="N627" s="4"/>
    </row>
    <row r="628" spans="2:14" x14ac:dyDescent="0.25">
      <c r="B628" s="3"/>
      <c r="C628" s="3"/>
      <c r="D628" s="3"/>
      <c r="E628" s="3"/>
      <c r="F628" s="3"/>
      <c r="G628" s="3"/>
      <c r="H628" s="3"/>
      <c r="I628" s="3"/>
      <c r="J628" s="3"/>
      <c r="K628" s="3" t="str">
        <f t="shared" si="973"/>
        <v/>
      </c>
      <c r="L628" s="3"/>
      <c r="M628" s="4"/>
      <c r="N628" s="4"/>
    </row>
    <row r="629" spans="2:14" x14ac:dyDescent="0.25">
      <c r="B629" s="3"/>
      <c r="C629" s="3"/>
      <c r="D629" s="3"/>
      <c r="E629" s="3"/>
      <c r="F629" s="3"/>
      <c r="G629" s="3"/>
      <c r="H629" s="3"/>
      <c r="I629" s="3"/>
      <c r="J629" s="3"/>
      <c r="K629" s="3" t="str">
        <f t="shared" si="973"/>
        <v/>
      </c>
      <c r="L629" s="3"/>
      <c r="M629" s="4"/>
      <c r="N629" s="4"/>
    </row>
    <row r="630" spans="2:14" x14ac:dyDescent="0.25">
      <c r="B630" s="3"/>
      <c r="C630" s="3"/>
      <c r="D630" s="3"/>
      <c r="E630" s="3"/>
      <c r="F630" s="3"/>
      <c r="G630" s="3"/>
      <c r="H630" s="3"/>
      <c r="I630" s="3"/>
      <c r="J630" s="3"/>
      <c r="K630" s="3" t="str">
        <f t="shared" si="973"/>
        <v/>
      </c>
      <c r="L630" s="3"/>
      <c r="M630" s="4"/>
      <c r="N630" s="4"/>
    </row>
    <row r="631" spans="2:14" x14ac:dyDescent="0.25">
      <c r="B631" s="3"/>
      <c r="C631" s="3"/>
      <c r="D631" s="3"/>
      <c r="E631" s="3"/>
      <c r="F631" s="3"/>
      <c r="G631" s="3"/>
      <c r="H631" s="3"/>
      <c r="I631" s="3"/>
      <c r="J631" s="3"/>
      <c r="K631" s="3" t="str">
        <f t="shared" si="973"/>
        <v/>
      </c>
      <c r="L631" s="3"/>
      <c r="M631" s="4"/>
      <c r="N631" s="4"/>
    </row>
    <row r="632" spans="2:14" x14ac:dyDescent="0.25">
      <c r="B632" s="3"/>
      <c r="C632" s="3"/>
      <c r="D632" s="3"/>
      <c r="E632" s="3"/>
      <c r="F632" s="3"/>
      <c r="G632" s="3"/>
      <c r="H632" s="3"/>
      <c r="I632" s="3"/>
      <c r="J632" s="3"/>
      <c r="K632" s="3" t="str">
        <f t="shared" si="973"/>
        <v/>
      </c>
      <c r="L632" s="3"/>
      <c r="M632" s="4"/>
      <c r="N632" s="4"/>
    </row>
    <row r="633" spans="2:14" x14ac:dyDescent="0.25">
      <c r="B633" s="3"/>
      <c r="C633" s="3"/>
      <c r="D633" s="3"/>
      <c r="E633" s="3"/>
      <c r="F633" s="3"/>
      <c r="G633" s="3"/>
      <c r="H633" s="3"/>
      <c r="I633" s="3"/>
      <c r="J633" s="3"/>
      <c r="K633" s="3" t="str">
        <f t="shared" si="973"/>
        <v/>
      </c>
      <c r="L633" s="3"/>
      <c r="M633" s="4"/>
      <c r="N633" s="4"/>
    </row>
    <row r="634" spans="2:14" x14ac:dyDescent="0.25">
      <c r="B634" s="3"/>
      <c r="C634" s="3"/>
      <c r="D634" s="3"/>
      <c r="E634" s="3"/>
      <c r="F634" s="3"/>
      <c r="G634" s="3"/>
      <c r="H634" s="3"/>
      <c r="I634" s="3"/>
      <c r="J634" s="3"/>
      <c r="K634" s="3" t="str">
        <f t="shared" si="973"/>
        <v/>
      </c>
      <c r="L634" s="3"/>
      <c r="M634" s="4"/>
      <c r="N634" s="4"/>
    </row>
    <row r="635" spans="2:14" x14ac:dyDescent="0.25">
      <c r="B635" s="3"/>
      <c r="C635" s="3"/>
      <c r="D635" s="3"/>
      <c r="E635" s="3"/>
      <c r="F635" s="3"/>
      <c r="G635" s="3"/>
      <c r="H635" s="3"/>
      <c r="I635" s="3"/>
      <c r="J635" s="3"/>
      <c r="K635" s="3" t="str">
        <f t="shared" si="973"/>
        <v/>
      </c>
      <c r="L635" s="3"/>
      <c r="M635" s="4"/>
      <c r="N635" s="4"/>
    </row>
    <row r="636" spans="2:14" x14ac:dyDescent="0.25">
      <c r="B636" s="3"/>
      <c r="C636" s="3"/>
      <c r="D636" s="3"/>
      <c r="E636" s="3"/>
      <c r="F636" s="3"/>
      <c r="G636" s="3"/>
      <c r="H636" s="3"/>
      <c r="I636" s="3"/>
      <c r="J636" s="3"/>
      <c r="K636" s="3" t="str">
        <f t="shared" si="973"/>
        <v/>
      </c>
      <c r="L636" s="3"/>
      <c r="M636" s="4"/>
      <c r="N636" s="4"/>
    </row>
    <row r="637" spans="2:14" x14ac:dyDescent="0.25">
      <c r="B637" s="3"/>
      <c r="C637" s="3"/>
      <c r="D637" s="3"/>
      <c r="E637" s="3"/>
      <c r="F637" s="3"/>
      <c r="G637" s="3"/>
      <c r="H637" s="3"/>
      <c r="I637" s="3"/>
      <c r="J637" s="3"/>
      <c r="K637" s="3" t="str">
        <f t="shared" si="973"/>
        <v/>
      </c>
      <c r="L637" s="3"/>
      <c r="M637" s="4"/>
      <c r="N637" s="4"/>
    </row>
    <row r="638" spans="2:14" x14ac:dyDescent="0.25">
      <c r="B638" s="3"/>
      <c r="C638" s="3"/>
      <c r="D638" s="3"/>
      <c r="E638" s="3"/>
      <c r="F638" s="3"/>
      <c r="G638" s="3"/>
      <c r="H638" s="3"/>
      <c r="I638" s="3"/>
      <c r="J638" s="3"/>
      <c r="K638" s="3" t="str">
        <f t="shared" si="973"/>
        <v/>
      </c>
      <c r="L638" s="3"/>
      <c r="M638" s="4"/>
      <c r="N638" s="4"/>
    </row>
    <row r="639" spans="2:14" x14ac:dyDescent="0.25">
      <c r="B639" s="3"/>
      <c r="C639" s="3"/>
      <c r="D639" s="3"/>
      <c r="E639" s="3"/>
      <c r="F639" s="3"/>
      <c r="G639" s="3"/>
      <c r="H639" s="3"/>
      <c r="I639" s="3"/>
      <c r="J639" s="3"/>
      <c r="K639" s="3" t="str">
        <f t="shared" si="973"/>
        <v/>
      </c>
      <c r="L639" s="3"/>
      <c r="M639" s="4"/>
      <c r="N639" s="4"/>
    </row>
    <row r="640" spans="2:14" x14ac:dyDescent="0.25">
      <c r="B640" s="3"/>
      <c r="C640" s="3"/>
      <c r="D640" s="3"/>
      <c r="E640" s="3"/>
      <c r="F640" s="3"/>
      <c r="G640" s="3"/>
      <c r="H640" s="3"/>
      <c r="I640" s="3"/>
      <c r="J640" s="3"/>
      <c r="K640" s="3" t="str">
        <f t="shared" si="973"/>
        <v/>
      </c>
      <c r="L640" s="3"/>
      <c r="M640" s="4"/>
      <c r="N640" s="4"/>
    </row>
    <row r="641" spans="2:14" x14ac:dyDescent="0.25">
      <c r="B641" s="3"/>
      <c r="C641" s="3"/>
      <c r="D641" s="3"/>
      <c r="E641" s="3"/>
      <c r="F641" s="3"/>
      <c r="G641" s="3"/>
      <c r="H641" s="3"/>
      <c r="I641" s="3"/>
      <c r="J641" s="3"/>
      <c r="K641" s="3" t="str">
        <f t="shared" si="973"/>
        <v/>
      </c>
      <c r="L641" s="3"/>
      <c r="M641" s="4"/>
      <c r="N641" s="4"/>
    </row>
    <row r="642" spans="2:14" x14ac:dyDescent="0.25">
      <c r="B642" s="3"/>
      <c r="C642" s="3"/>
      <c r="D642" s="3"/>
      <c r="E642" s="3"/>
      <c r="F642" s="3"/>
      <c r="G642" s="3"/>
      <c r="H642" s="3"/>
      <c r="I642" s="3"/>
      <c r="J642" s="3"/>
      <c r="K642" s="3" t="str">
        <f t="shared" si="973"/>
        <v/>
      </c>
      <c r="L642" s="3"/>
      <c r="M642" s="4"/>
      <c r="N642" s="4"/>
    </row>
    <row r="643" spans="2:14" x14ac:dyDescent="0.25">
      <c r="B643" s="3"/>
      <c r="C643" s="3"/>
      <c r="D643" s="3"/>
      <c r="E643" s="3"/>
      <c r="F643" s="3"/>
      <c r="G643" s="3"/>
      <c r="H643" s="3"/>
      <c r="I643" s="3"/>
      <c r="J643" s="3"/>
      <c r="K643" s="3" t="str">
        <f t="shared" si="973"/>
        <v/>
      </c>
      <c r="L643" s="3"/>
      <c r="M643" s="4"/>
      <c r="N643" s="4"/>
    </row>
    <row r="644" spans="2:14" x14ac:dyDescent="0.25">
      <c r="B644" s="3"/>
      <c r="C644" s="3"/>
      <c r="D644" s="3"/>
      <c r="E644" s="3"/>
      <c r="F644" s="3"/>
      <c r="G644" s="3"/>
      <c r="H644" s="3"/>
      <c r="I644" s="3"/>
      <c r="J644" s="3"/>
      <c r="K644" s="3" t="str">
        <f t="shared" si="973"/>
        <v/>
      </c>
      <c r="L644" s="3"/>
      <c r="M644" s="4"/>
      <c r="N644" s="4"/>
    </row>
    <row r="645" spans="2:14" x14ac:dyDescent="0.25">
      <c r="B645" s="3"/>
      <c r="C645" s="3"/>
      <c r="D645" s="3"/>
      <c r="E645" s="3"/>
      <c r="F645" s="3"/>
      <c r="G645" s="3"/>
      <c r="H645" s="3"/>
      <c r="I645" s="3"/>
      <c r="J645" s="3"/>
      <c r="K645" s="3" t="str">
        <f t="shared" si="973"/>
        <v/>
      </c>
      <c r="L645" s="3"/>
      <c r="M645" s="4"/>
      <c r="N645" s="4"/>
    </row>
    <row r="646" spans="2:14" x14ac:dyDescent="0.25">
      <c r="B646" s="3"/>
      <c r="C646" s="3"/>
      <c r="D646" s="3"/>
      <c r="E646" s="3"/>
      <c r="F646" s="3"/>
      <c r="G646" s="3"/>
      <c r="H646" s="3"/>
      <c r="I646" s="3"/>
      <c r="J646" s="3"/>
      <c r="K646" s="3" t="str">
        <f t="shared" si="973"/>
        <v/>
      </c>
      <c r="L646" s="3"/>
      <c r="M646" s="4"/>
      <c r="N646" s="4"/>
    </row>
    <row r="647" spans="2:14" x14ac:dyDescent="0.25">
      <c r="B647" s="3"/>
      <c r="C647" s="3"/>
      <c r="D647" s="3"/>
      <c r="E647" s="3"/>
      <c r="F647" s="3"/>
      <c r="G647" s="3"/>
      <c r="H647" s="3"/>
      <c r="I647" s="3"/>
      <c r="J647" s="3"/>
      <c r="K647" s="3" t="str">
        <f t="shared" si="973"/>
        <v/>
      </c>
      <c r="L647" s="3"/>
      <c r="M647" s="4"/>
      <c r="N647" s="4"/>
    </row>
    <row r="648" spans="2:14" x14ac:dyDescent="0.25">
      <c r="B648" s="3"/>
      <c r="C648" s="3"/>
      <c r="D648" s="3"/>
      <c r="E648" s="3"/>
      <c r="F648" s="3"/>
      <c r="G648" s="3"/>
      <c r="H648" s="3"/>
      <c r="I648" s="3"/>
      <c r="J648" s="3"/>
      <c r="K648" s="3" t="str">
        <f t="shared" si="973"/>
        <v/>
      </c>
      <c r="L648" s="3"/>
      <c r="M648" s="4"/>
      <c r="N648" s="4"/>
    </row>
    <row r="649" spans="2:14" x14ac:dyDescent="0.25">
      <c r="B649" s="3"/>
      <c r="C649" s="3"/>
      <c r="D649" s="3"/>
      <c r="E649" s="3"/>
      <c r="F649" s="3"/>
      <c r="G649" s="3"/>
      <c r="H649" s="3"/>
      <c r="I649" s="3"/>
      <c r="J649" s="3"/>
      <c r="K649" s="3" t="str">
        <f t="shared" si="973"/>
        <v/>
      </c>
      <c r="L649" s="3"/>
      <c r="M649" s="4"/>
      <c r="N649" s="4"/>
    </row>
    <row r="650" spans="2:14" x14ac:dyDescent="0.25">
      <c r="B650" s="3"/>
      <c r="C650" s="3"/>
      <c r="D650" s="3"/>
      <c r="E650" s="3"/>
      <c r="F650" s="3"/>
      <c r="G650" s="3"/>
      <c r="H650" s="3"/>
      <c r="I650" s="3"/>
      <c r="J650" s="3"/>
      <c r="K650" s="3" t="str">
        <f t="shared" si="973"/>
        <v/>
      </c>
      <c r="L650" s="3"/>
      <c r="M650" s="4"/>
      <c r="N650" s="4"/>
    </row>
    <row r="651" spans="2:14" x14ac:dyDescent="0.25">
      <c r="B651" s="3"/>
      <c r="C651" s="3"/>
      <c r="D651" s="3"/>
      <c r="E651" s="3"/>
      <c r="F651" s="3"/>
      <c r="G651" s="3"/>
      <c r="H651" s="3"/>
      <c r="I651" s="3"/>
      <c r="J651" s="3"/>
      <c r="K651" s="3" t="str">
        <f t="shared" si="973"/>
        <v/>
      </c>
      <c r="L651" s="3"/>
      <c r="M651" s="4"/>
      <c r="N651" s="4"/>
    </row>
    <row r="652" spans="2:14" x14ac:dyDescent="0.25">
      <c r="B652" s="3"/>
      <c r="C652" s="3"/>
      <c r="D652" s="3"/>
      <c r="E652" s="3"/>
      <c r="F652" s="3"/>
      <c r="G652" s="3"/>
      <c r="H652" s="3"/>
      <c r="I652" s="3"/>
      <c r="J652" s="3"/>
      <c r="K652" s="3" t="str">
        <f t="shared" si="973"/>
        <v/>
      </c>
      <c r="L652" s="3"/>
      <c r="M652" s="4"/>
      <c r="N652" s="4"/>
    </row>
    <row r="653" spans="2:14" x14ac:dyDescent="0.25">
      <c r="B653" s="3"/>
      <c r="C653" s="3"/>
      <c r="D653" s="3"/>
      <c r="E653" s="3"/>
      <c r="F653" s="3"/>
      <c r="G653" s="3"/>
      <c r="H653" s="3"/>
      <c r="I653" s="3"/>
      <c r="J653" s="3"/>
      <c r="K653" s="3" t="str">
        <f t="shared" si="973"/>
        <v/>
      </c>
      <c r="L653" s="3"/>
      <c r="M653" s="4"/>
      <c r="N653" s="4"/>
    </row>
    <row r="654" spans="2:14" x14ac:dyDescent="0.25">
      <c r="B654" s="3"/>
      <c r="C654" s="3"/>
      <c r="D654" s="3"/>
      <c r="E654" s="3"/>
      <c r="F654" s="3"/>
      <c r="G654" s="3"/>
      <c r="H654" s="3"/>
      <c r="I654" s="3"/>
      <c r="J654" s="3"/>
      <c r="K654" s="3" t="str">
        <f t="shared" si="973"/>
        <v/>
      </c>
      <c r="L654" s="3"/>
      <c r="M654" s="4"/>
      <c r="N654" s="4"/>
    </row>
    <row r="655" spans="2:14" x14ac:dyDescent="0.25">
      <c r="B655" s="3"/>
      <c r="C655" s="3"/>
      <c r="D655" s="3"/>
      <c r="E655" s="3"/>
      <c r="F655" s="3"/>
      <c r="G655" s="3"/>
      <c r="H655" s="3"/>
      <c r="I655" s="3"/>
      <c r="J655" s="3"/>
      <c r="K655" s="3" t="str">
        <f t="shared" si="973"/>
        <v/>
      </c>
      <c r="L655" s="3"/>
      <c r="M655" s="4"/>
      <c r="N655" s="4"/>
    </row>
    <row r="656" spans="2:14" x14ac:dyDescent="0.25">
      <c r="B656" s="3"/>
      <c r="C656" s="3"/>
      <c r="D656" s="3"/>
      <c r="E656" s="3"/>
      <c r="F656" s="3"/>
      <c r="G656" s="3"/>
      <c r="H656" s="3"/>
      <c r="I656" s="3"/>
      <c r="J656" s="3"/>
      <c r="K656" s="3" t="str">
        <f t="shared" si="973"/>
        <v/>
      </c>
      <c r="L656" s="3"/>
      <c r="M656" s="4"/>
      <c r="N656" s="4"/>
    </row>
    <row r="657" spans="2:14" x14ac:dyDescent="0.25">
      <c r="B657" s="3"/>
      <c r="C657" s="3"/>
      <c r="D657" s="3"/>
      <c r="E657" s="3"/>
      <c r="F657" s="3"/>
      <c r="G657" s="3"/>
      <c r="H657" s="3"/>
      <c r="I657" s="3"/>
      <c r="J657" s="3"/>
      <c r="K657" s="3" t="str">
        <f t="shared" si="973"/>
        <v/>
      </c>
      <c r="L657" s="3"/>
      <c r="M657" s="4"/>
      <c r="N657" s="4"/>
    </row>
    <row r="658" spans="2:14" x14ac:dyDescent="0.25">
      <c r="B658" s="3"/>
      <c r="C658" s="3"/>
      <c r="D658" s="3"/>
      <c r="E658" s="3"/>
      <c r="F658" s="3"/>
      <c r="G658" s="3"/>
      <c r="H658" s="3"/>
      <c r="I658" s="3"/>
      <c r="J658" s="3"/>
      <c r="K658" s="3" t="str">
        <f t="shared" si="973"/>
        <v/>
      </c>
      <c r="L658" s="3"/>
      <c r="M658" s="4"/>
      <c r="N658" s="4"/>
    </row>
    <row r="659" spans="2:14" x14ac:dyDescent="0.25">
      <c r="B659" s="3"/>
      <c r="C659" s="3"/>
      <c r="D659" s="3"/>
      <c r="E659" s="3"/>
      <c r="F659" s="3"/>
      <c r="G659" s="3"/>
      <c r="H659" s="3"/>
      <c r="I659" s="3"/>
      <c r="J659" s="3"/>
      <c r="K659" s="3" t="str">
        <f t="shared" si="973"/>
        <v/>
      </c>
      <c r="L659" s="3"/>
      <c r="M659" s="4"/>
      <c r="N659" s="4"/>
    </row>
    <row r="660" spans="2:14" x14ac:dyDescent="0.25">
      <c r="B660" s="3"/>
      <c r="C660" s="3"/>
      <c r="D660" s="3"/>
      <c r="E660" s="3"/>
      <c r="F660" s="3"/>
      <c r="G660" s="3"/>
      <c r="H660" s="3"/>
      <c r="I660" s="3"/>
      <c r="J660" s="3"/>
      <c r="K660" s="3" t="str">
        <f t="shared" si="973"/>
        <v/>
      </c>
      <c r="L660" s="3"/>
      <c r="M660" s="4"/>
      <c r="N660" s="4"/>
    </row>
    <row r="661" spans="2:14" x14ac:dyDescent="0.25">
      <c r="B661" s="3"/>
      <c r="C661" s="3"/>
      <c r="D661" s="3"/>
      <c r="E661" s="3"/>
      <c r="F661" s="3"/>
      <c r="G661" s="3"/>
      <c r="H661" s="3"/>
      <c r="I661" s="3"/>
      <c r="J661" s="3"/>
      <c r="K661" s="3" t="str">
        <f t="shared" si="973"/>
        <v/>
      </c>
      <c r="L661" s="3"/>
      <c r="M661" s="4"/>
      <c r="N661" s="4"/>
    </row>
    <row r="662" spans="2:14" x14ac:dyDescent="0.25">
      <c r="B662" s="3"/>
      <c r="C662" s="3"/>
      <c r="D662" s="3"/>
      <c r="E662" s="3"/>
      <c r="F662" s="3"/>
      <c r="G662" s="3"/>
      <c r="H662" s="3"/>
      <c r="I662" s="3"/>
      <c r="J662" s="3"/>
      <c r="K662" s="3" t="str">
        <f>IF(B662=0,"",B662-B498)</f>
        <v/>
      </c>
      <c r="L662" s="3"/>
      <c r="M662" s="4"/>
      <c r="N662" s="4"/>
    </row>
    <row r="663" spans="2:14" x14ac:dyDescent="0.25">
      <c r="B663" s="3"/>
      <c r="C663" s="3"/>
      <c r="D663" s="3"/>
      <c r="E663" s="3"/>
      <c r="F663" s="3"/>
      <c r="G663" s="3"/>
      <c r="H663" s="3"/>
      <c r="I663" s="3"/>
      <c r="J663" s="3"/>
      <c r="K663" s="3" t="str">
        <f>IF(B663=0,"",B663-B499)</f>
        <v/>
      </c>
      <c r="L663" s="3"/>
      <c r="M663" s="4"/>
      <c r="N663" s="4"/>
    </row>
    <row r="664" spans="2:14" x14ac:dyDescent="0.25">
      <c r="B664" s="3"/>
      <c r="C664" s="3"/>
      <c r="D664" s="3"/>
      <c r="E664" s="3"/>
      <c r="F664" s="3"/>
      <c r="G664" s="3"/>
      <c r="H664" s="3"/>
      <c r="I664" s="3"/>
      <c r="J664" s="3"/>
      <c r="K664" s="3" t="str">
        <f>IF(B664=0,"",B664-B500)</f>
        <v/>
      </c>
      <c r="L664" s="3"/>
      <c r="M664" s="4"/>
      <c r="N664" s="4"/>
    </row>
    <row r="665" spans="2:14" x14ac:dyDescent="0.25">
      <c r="B665" s="3"/>
      <c r="C665" s="3"/>
      <c r="D665" s="3"/>
      <c r="E665" s="3"/>
      <c r="F665" s="3"/>
      <c r="G665" s="3"/>
      <c r="H665" s="3"/>
      <c r="I665" s="3"/>
      <c r="J665" s="3"/>
      <c r="K665" s="3" t="str">
        <f>IF(B665=0,"",B665-#REF!)</f>
        <v/>
      </c>
      <c r="L665" s="3"/>
      <c r="M665" s="4"/>
      <c r="N665" s="4"/>
    </row>
    <row r="666" spans="2:14" x14ac:dyDescent="0.25">
      <c r="B666" s="3"/>
      <c r="C666" s="3"/>
      <c r="D666" s="3"/>
      <c r="E666" s="3"/>
      <c r="F666" s="3"/>
      <c r="G666" s="3"/>
      <c r="H666" s="3"/>
      <c r="I666" s="3"/>
      <c r="J666" s="3"/>
      <c r="K666" s="3" t="str">
        <f>IF(B666=0,"",B666-B612)</f>
        <v/>
      </c>
      <c r="L666" s="3"/>
      <c r="M666" s="4"/>
      <c r="N666" s="4"/>
    </row>
    <row r="667" spans="2:14" x14ac:dyDescent="0.25">
      <c r="B667" s="3"/>
      <c r="C667" s="3"/>
      <c r="D667" s="3"/>
      <c r="E667" s="3"/>
      <c r="F667" s="3"/>
      <c r="G667" s="3"/>
      <c r="H667" s="3"/>
      <c r="I667" s="3"/>
      <c r="J667" s="3"/>
      <c r="K667" s="3" t="str">
        <f t="shared" ref="K667:K700" si="974">IF(B667=0,"",B667-B615)</f>
        <v/>
      </c>
      <c r="L667" s="3"/>
      <c r="M667" s="4"/>
      <c r="N667" s="4"/>
    </row>
    <row r="668" spans="2:14" x14ac:dyDescent="0.25">
      <c r="B668" s="3"/>
      <c r="C668" s="3"/>
      <c r="D668" s="3"/>
      <c r="E668" s="3"/>
      <c r="F668" s="3"/>
      <c r="G668" s="3"/>
      <c r="H668" s="3"/>
      <c r="I668" s="3"/>
      <c r="J668" s="3"/>
      <c r="K668" s="3" t="str">
        <f t="shared" si="974"/>
        <v/>
      </c>
      <c r="L668" s="3"/>
      <c r="M668" s="4"/>
      <c r="N668" s="4"/>
    </row>
    <row r="669" spans="2:14" x14ac:dyDescent="0.25">
      <c r="B669" s="3"/>
      <c r="C669" s="3"/>
      <c r="D669" s="3"/>
      <c r="E669" s="3"/>
      <c r="F669" s="3"/>
      <c r="G669" s="3"/>
      <c r="H669" s="3"/>
      <c r="I669" s="3"/>
      <c r="J669" s="3"/>
      <c r="K669" s="3" t="str">
        <f>IF(B669=0,"",B669-B617)</f>
        <v/>
      </c>
      <c r="L669" s="3"/>
      <c r="M669" s="4"/>
      <c r="N669" s="4"/>
    </row>
    <row r="670" spans="2:14" x14ac:dyDescent="0.25">
      <c r="B670" s="3"/>
      <c r="C670" s="3"/>
      <c r="D670" s="3"/>
      <c r="E670" s="3"/>
      <c r="F670" s="3"/>
      <c r="G670" s="3"/>
      <c r="H670" s="3"/>
      <c r="I670" s="3"/>
      <c r="J670" s="3"/>
      <c r="K670" s="3" t="str">
        <f t="shared" si="974"/>
        <v/>
      </c>
      <c r="L670" s="3"/>
      <c r="M670" s="4"/>
      <c r="N670" s="4"/>
    </row>
    <row r="671" spans="2:14" x14ac:dyDescent="0.25">
      <c r="B671" s="3"/>
      <c r="C671" s="3"/>
      <c r="D671" s="3"/>
      <c r="E671" s="3"/>
      <c r="F671" s="3"/>
      <c r="G671" s="3"/>
      <c r="H671" s="3"/>
      <c r="I671" s="3"/>
      <c r="J671" s="3"/>
      <c r="K671" s="3" t="str">
        <f t="shared" si="974"/>
        <v/>
      </c>
      <c r="L671" s="3"/>
      <c r="M671" s="4"/>
      <c r="N671" s="4"/>
    </row>
    <row r="672" spans="2:14" x14ac:dyDescent="0.25">
      <c r="B672" s="3"/>
      <c r="C672" s="3"/>
      <c r="D672" s="3"/>
      <c r="E672" s="3"/>
      <c r="F672" s="3"/>
      <c r="G672" s="3"/>
      <c r="H672" s="3"/>
      <c r="I672" s="3"/>
      <c r="J672" s="3"/>
      <c r="K672" s="3" t="str">
        <f t="shared" si="974"/>
        <v/>
      </c>
      <c r="L672" s="3"/>
      <c r="M672" s="4"/>
      <c r="N672" s="4"/>
    </row>
    <row r="673" spans="2:14" x14ac:dyDescent="0.25">
      <c r="B673" s="3"/>
      <c r="C673" s="3"/>
      <c r="D673" s="3"/>
      <c r="E673" s="3"/>
      <c r="F673" s="3"/>
      <c r="G673" s="3"/>
      <c r="H673" s="3"/>
      <c r="I673" s="3"/>
      <c r="J673" s="3"/>
      <c r="K673" s="3" t="str">
        <f t="shared" si="974"/>
        <v/>
      </c>
      <c r="L673" s="3"/>
      <c r="M673" s="4"/>
      <c r="N673" s="4"/>
    </row>
    <row r="674" spans="2:14" x14ac:dyDescent="0.25">
      <c r="B674" s="3"/>
      <c r="C674" s="3"/>
      <c r="D674" s="3"/>
      <c r="E674" s="3"/>
      <c r="F674" s="3"/>
      <c r="G674" s="3"/>
      <c r="H674" s="3"/>
      <c r="I674" s="3"/>
      <c r="J674" s="3"/>
      <c r="K674" s="3" t="str">
        <f t="shared" si="974"/>
        <v/>
      </c>
      <c r="L674" s="3"/>
      <c r="M674" s="4"/>
      <c r="N674" s="4"/>
    </row>
    <row r="675" spans="2:14" x14ac:dyDescent="0.25">
      <c r="B675" s="3"/>
      <c r="C675" s="3"/>
      <c r="D675" s="3"/>
      <c r="E675" s="3"/>
      <c r="F675" s="3"/>
      <c r="G675" s="3"/>
      <c r="H675" s="3"/>
      <c r="I675" s="3"/>
      <c r="J675" s="3"/>
      <c r="K675" s="3" t="str">
        <f t="shared" si="974"/>
        <v/>
      </c>
      <c r="L675" s="3"/>
      <c r="M675" s="4"/>
      <c r="N675" s="4"/>
    </row>
    <row r="676" spans="2:14" x14ac:dyDescent="0.25">
      <c r="B676" s="3"/>
      <c r="C676" s="3"/>
      <c r="D676" s="3"/>
      <c r="E676" s="3"/>
      <c r="F676" s="3"/>
      <c r="G676" s="3"/>
      <c r="H676" s="3"/>
      <c r="I676" s="3"/>
      <c r="J676" s="3"/>
      <c r="K676" s="3" t="str">
        <f t="shared" si="974"/>
        <v/>
      </c>
      <c r="L676" s="3"/>
      <c r="M676" s="4"/>
      <c r="N676" s="4"/>
    </row>
    <row r="677" spans="2:14" x14ac:dyDescent="0.25">
      <c r="B677" s="3"/>
      <c r="C677" s="3"/>
      <c r="D677" s="3"/>
      <c r="E677" s="3"/>
      <c r="F677" s="3"/>
      <c r="G677" s="3"/>
      <c r="H677" s="3"/>
      <c r="I677" s="3"/>
      <c r="J677" s="3"/>
      <c r="K677" s="3" t="str">
        <f t="shared" si="974"/>
        <v/>
      </c>
      <c r="L677" s="3"/>
      <c r="M677" s="4"/>
      <c r="N677" s="4"/>
    </row>
    <row r="678" spans="2:14" x14ac:dyDescent="0.25">
      <c r="B678" s="3"/>
      <c r="C678" s="3"/>
      <c r="D678" s="3"/>
      <c r="E678" s="3"/>
      <c r="F678" s="3"/>
      <c r="G678" s="3"/>
      <c r="H678" s="3"/>
      <c r="I678" s="3"/>
      <c r="J678" s="3"/>
      <c r="K678" s="3" t="str">
        <f t="shared" si="974"/>
        <v/>
      </c>
      <c r="L678" s="3"/>
      <c r="M678" s="4"/>
      <c r="N678" s="4"/>
    </row>
    <row r="679" spans="2:14" x14ac:dyDescent="0.25">
      <c r="B679" s="3"/>
      <c r="C679" s="3"/>
      <c r="D679" s="3"/>
      <c r="E679" s="3"/>
      <c r="F679" s="3"/>
      <c r="G679" s="3"/>
      <c r="H679" s="3"/>
      <c r="I679" s="3"/>
      <c r="J679" s="3"/>
      <c r="K679" s="3" t="str">
        <f t="shared" si="974"/>
        <v/>
      </c>
      <c r="L679" s="3"/>
      <c r="M679" s="4"/>
      <c r="N679" s="4"/>
    </row>
    <row r="680" spans="2:14" x14ac:dyDescent="0.25">
      <c r="B680" s="3"/>
      <c r="C680" s="3"/>
      <c r="D680" s="3"/>
      <c r="E680" s="3"/>
      <c r="F680" s="3"/>
      <c r="G680" s="3"/>
      <c r="H680" s="3"/>
      <c r="I680" s="3"/>
      <c r="J680" s="3"/>
      <c r="K680" s="3" t="str">
        <f t="shared" si="974"/>
        <v/>
      </c>
      <c r="L680" s="3"/>
      <c r="M680" s="4"/>
      <c r="N680" s="4"/>
    </row>
    <row r="681" spans="2:14" x14ac:dyDescent="0.25">
      <c r="B681" s="3"/>
      <c r="C681" s="3"/>
      <c r="D681" s="3"/>
      <c r="E681" s="3"/>
      <c r="F681" s="3"/>
      <c r="G681" s="3"/>
      <c r="H681" s="3"/>
      <c r="I681" s="3"/>
      <c r="J681" s="3"/>
      <c r="K681" s="3" t="str">
        <f t="shared" si="974"/>
        <v/>
      </c>
      <c r="L681" s="3"/>
      <c r="M681" s="4"/>
      <c r="N681" s="4"/>
    </row>
    <row r="682" spans="2:14" x14ac:dyDescent="0.25">
      <c r="B682" s="3"/>
      <c r="C682" s="3"/>
      <c r="D682" s="3"/>
      <c r="E682" s="3"/>
      <c r="F682" s="3"/>
      <c r="G682" s="3"/>
      <c r="H682" s="3"/>
      <c r="I682" s="3"/>
      <c r="J682" s="3"/>
      <c r="K682" s="3" t="str">
        <f t="shared" si="974"/>
        <v/>
      </c>
      <c r="L682" s="3"/>
      <c r="M682" s="4"/>
      <c r="N682" s="4"/>
    </row>
    <row r="683" spans="2:14" x14ac:dyDescent="0.25">
      <c r="B683" s="3"/>
      <c r="C683" s="3"/>
      <c r="D683" s="3"/>
      <c r="E683" s="3"/>
      <c r="F683" s="3"/>
      <c r="G683" s="3"/>
      <c r="H683" s="3"/>
      <c r="I683" s="3"/>
      <c r="J683" s="3"/>
      <c r="K683" s="3" t="str">
        <f t="shared" si="974"/>
        <v/>
      </c>
      <c r="L683" s="3"/>
      <c r="M683" s="4"/>
      <c r="N683" s="4"/>
    </row>
    <row r="684" spans="2:14" x14ac:dyDescent="0.25">
      <c r="B684" s="3"/>
      <c r="C684" s="3"/>
      <c r="D684" s="3"/>
      <c r="E684" s="3"/>
      <c r="F684" s="3"/>
      <c r="G684" s="3"/>
      <c r="H684" s="3"/>
      <c r="I684" s="3"/>
      <c r="J684" s="3"/>
      <c r="K684" s="3" t="str">
        <f t="shared" si="974"/>
        <v/>
      </c>
      <c r="L684" s="3"/>
      <c r="M684" s="4"/>
      <c r="N684" s="4"/>
    </row>
    <row r="685" spans="2:14" x14ac:dyDescent="0.25">
      <c r="B685" s="3"/>
      <c r="C685" s="3"/>
      <c r="D685" s="3"/>
      <c r="E685" s="3"/>
      <c r="F685" s="3"/>
      <c r="G685" s="3"/>
      <c r="H685" s="3"/>
      <c r="I685" s="3"/>
      <c r="J685" s="3"/>
      <c r="K685" s="3" t="str">
        <f t="shared" si="974"/>
        <v/>
      </c>
      <c r="L685" s="3"/>
      <c r="M685" s="4"/>
      <c r="N685" s="4"/>
    </row>
    <row r="686" spans="2:14" x14ac:dyDescent="0.25">
      <c r="B686" s="3"/>
      <c r="C686" s="3"/>
      <c r="D686" s="3"/>
      <c r="E686" s="3"/>
      <c r="F686" s="3"/>
      <c r="G686" s="3"/>
      <c r="H686" s="3"/>
      <c r="I686" s="3"/>
      <c r="J686" s="3"/>
      <c r="K686" s="3" t="str">
        <f t="shared" si="974"/>
        <v/>
      </c>
      <c r="L686" s="3"/>
      <c r="M686" s="4"/>
      <c r="N686" s="4"/>
    </row>
    <row r="687" spans="2:14" x14ac:dyDescent="0.25">
      <c r="B687" s="3"/>
      <c r="C687" s="3"/>
      <c r="D687" s="3"/>
      <c r="E687" s="3"/>
      <c r="F687" s="3"/>
      <c r="G687" s="3"/>
      <c r="H687" s="3"/>
      <c r="I687" s="3"/>
      <c r="J687" s="3"/>
      <c r="K687" s="3" t="str">
        <f t="shared" si="974"/>
        <v/>
      </c>
      <c r="L687" s="3"/>
      <c r="M687" s="4"/>
      <c r="N687" s="4"/>
    </row>
    <row r="688" spans="2:14" x14ac:dyDescent="0.25">
      <c r="B688" s="3"/>
      <c r="C688" s="3"/>
      <c r="D688" s="3"/>
      <c r="E688" s="3"/>
      <c r="F688" s="3"/>
      <c r="G688" s="3"/>
      <c r="H688" s="3"/>
      <c r="I688" s="3"/>
      <c r="J688" s="3"/>
      <c r="K688" s="3" t="str">
        <f t="shared" si="974"/>
        <v/>
      </c>
      <c r="L688" s="3"/>
      <c r="M688" s="4"/>
      <c r="N688" s="4"/>
    </row>
    <row r="689" spans="2:14" x14ac:dyDescent="0.25">
      <c r="B689" s="3"/>
      <c r="C689" s="3"/>
      <c r="D689" s="3"/>
      <c r="E689" s="3"/>
      <c r="F689" s="3"/>
      <c r="G689" s="3"/>
      <c r="H689" s="3"/>
      <c r="I689" s="3"/>
      <c r="J689" s="3"/>
      <c r="K689" s="3" t="str">
        <f t="shared" si="974"/>
        <v/>
      </c>
      <c r="L689" s="3"/>
      <c r="M689" s="4"/>
      <c r="N689" s="4"/>
    </row>
    <row r="690" spans="2:14" x14ac:dyDescent="0.25">
      <c r="B690" s="3"/>
      <c r="C690" s="3"/>
      <c r="D690" s="3"/>
      <c r="E690" s="3"/>
      <c r="F690" s="3"/>
      <c r="G690" s="3"/>
      <c r="H690" s="3"/>
      <c r="I690" s="3"/>
      <c r="J690" s="3"/>
      <c r="K690" s="3" t="str">
        <f t="shared" si="974"/>
        <v/>
      </c>
      <c r="L690" s="3"/>
      <c r="M690" s="4"/>
      <c r="N690" s="4"/>
    </row>
    <row r="691" spans="2:14" x14ac:dyDescent="0.25">
      <c r="B691" s="3"/>
      <c r="C691" s="3"/>
      <c r="D691" s="3"/>
      <c r="E691" s="3"/>
      <c r="F691" s="3"/>
      <c r="G691" s="3"/>
      <c r="H691" s="3"/>
      <c r="I691" s="3"/>
      <c r="J691" s="3"/>
      <c r="K691" s="3" t="str">
        <f t="shared" si="974"/>
        <v/>
      </c>
      <c r="L691" s="3"/>
      <c r="M691" s="4"/>
      <c r="N691" s="4"/>
    </row>
    <row r="692" spans="2:14" x14ac:dyDescent="0.25">
      <c r="B692" s="3"/>
      <c r="C692" s="3"/>
      <c r="D692" s="3"/>
      <c r="E692" s="3"/>
      <c r="F692" s="3"/>
      <c r="G692" s="3"/>
      <c r="H692" s="3"/>
      <c r="I692" s="3"/>
      <c r="J692" s="3"/>
      <c r="K692" s="3" t="str">
        <f t="shared" si="974"/>
        <v/>
      </c>
      <c r="L692" s="3"/>
      <c r="M692" s="4"/>
      <c r="N692" s="4"/>
    </row>
    <row r="693" spans="2:14" x14ac:dyDescent="0.25">
      <c r="B693" s="3"/>
      <c r="C693" s="3"/>
      <c r="D693" s="3"/>
      <c r="E693" s="3"/>
      <c r="F693" s="3"/>
      <c r="G693" s="3"/>
      <c r="H693" s="3"/>
      <c r="I693" s="3"/>
      <c r="J693" s="3"/>
      <c r="K693" s="3" t="str">
        <f t="shared" si="974"/>
        <v/>
      </c>
      <c r="L693" s="3"/>
      <c r="M693" s="4"/>
      <c r="N693" s="4"/>
    </row>
    <row r="694" spans="2:14" x14ac:dyDescent="0.25">
      <c r="B694" s="3"/>
      <c r="C694" s="3"/>
      <c r="D694" s="3"/>
      <c r="E694" s="3"/>
      <c r="F694" s="3"/>
      <c r="G694" s="3"/>
      <c r="H694" s="3"/>
      <c r="I694" s="3"/>
      <c r="J694" s="3"/>
      <c r="K694" s="3" t="str">
        <f t="shared" si="974"/>
        <v/>
      </c>
      <c r="L694" s="3"/>
      <c r="M694" s="4"/>
      <c r="N694" s="4"/>
    </row>
    <row r="695" spans="2:14" x14ac:dyDescent="0.25">
      <c r="B695" s="3"/>
      <c r="C695" s="3"/>
      <c r="D695" s="3"/>
      <c r="E695" s="3"/>
      <c r="F695" s="3"/>
      <c r="G695" s="3"/>
      <c r="H695" s="3"/>
      <c r="I695" s="3"/>
      <c r="J695" s="3"/>
      <c r="K695" s="3" t="str">
        <f t="shared" si="974"/>
        <v/>
      </c>
      <c r="L695" s="3"/>
      <c r="M695" s="4"/>
      <c r="N695" s="4"/>
    </row>
    <row r="696" spans="2:14" x14ac:dyDescent="0.25">
      <c r="B696" s="3"/>
      <c r="C696" s="3"/>
      <c r="D696" s="3"/>
      <c r="E696" s="3"/>
      <c r="F696" s="3"/>
      <c r="G696" s="3"/>
      <c r="H696" s="3"/>
      <c r="I696" s="3"/>
      <c r="J696" s="3"/>
      <c r="K696" s="3" t="str">
        <f t="shared" si="974"/>
        <v/>
      </c>
      <c r="L696" s="3"/>
      <c r="M696" s="4"/>
      <c r="N696" s="4"/>
    </row>
    <row r="697" spans="2:14" x14ac:dyDescent="0.25">
      <c r="B697" s="3"/>
      <c r="C697" s="3"/>
      <c r="D697" s="3"/>
      <c r="E697" s="3"/>
      <c r="F697" s="3"/>
      <c r="G697" s="3"/>
      <c r="H697" s="3"/>
      <c r="I697" s="3"/>
      <c r="J697" s="3"/>
      <c r="K697" s="3" t="str">
        <f t="shared" si="974"/>
        <v/>
      </c>
      <c r="L697" s="3"/>
      <c r="M697" s="4"/>
      <c r="N697" s="4"/>
    </row>
    <row r="698" spans="2:14" x14ac:dyDescent="0.25">
      <c r="B698" s="3"/>
      <c r="C698" s="3"/>
      <c r="D698" s="3"/>
      <c r="E698" s="3"/>
      <c r="F698" s="3"/>
      <c r="G698" s="3"/>
      <c r="H698" s="3"/>
      <c r="I698" s="3"/>
      <c r="J698" s="3"/>
      <c r="K698" s="3" t="str">
        <f t="shared" si="974"/>
        <v/>
      </c>
      <c r="L698" s="3"/>
      <c r="M698" s="4"/>
      <c r="N698" s="4"/>
    </row>
    <row r="699" spans="2:14" x14ac:dyDescent="0.25">
      <c r="B699" s="3"/>
      <c r="C699" s="3"/>
      <c r="D699" s="3"/>
      <c r="E699" s="3"/>
      <c r="F699" s="3"/>
      <c r="G699" s="3"/>
      <c r="H699" s="3"/>
      <c r="I699" s="3"/>
      <c r="J699" s="3"/>
      <c r="K699" s="3" t="str">
        <f t="shared" si="974"/>
        <v/>
      </c>
      <c r="L699" s="3"/>
      <c r="M699" s="4"/>
      <c r="N699" s="4"/>
    </row>
    <row r="700" spans="2:14" x14ac:dyDescent="0.25">
      <c r="B700" s="3"/>
      <c r="C700" s="3"/>
      <c r="D700" s="3"/>
      <c r="E700" s="3"/>
      <c r="F700" s="3"/>
      <c r="G700" s="3"/>
      <c r="H700" s="3"/>
      <c r="I700" s="3"/>
      <c r="J700" s="3"/>
      <c r="K700" s="3" t="str">
        <f t="shared" si="974"/>
        <v/>
      </c>
      <c r="L700" s="3"/>
      <c r="M700" s="4"/>
      <c r="N700" s="4"/>
    </row>
    <row r="701" spans="2:14" x14ac:dyDescent="0.25">
      <c r="B701" s="3"/>
      <c r="C701" s="3"/>
      <c r="D701" s="3"/>
      <c r="E701" s="3"/>
      <c r="F701" s="3"/>
      <c r="G701" s="3"/>
      <c r="H701" s="3"/>
      <c r="I701" s="3"/>
      <c r="J701" s="3"/>
      <c r="K701" s="3" t="str">
        <f t="shared" ref="K701:K713" si="975">IF(B701=0,"",B701-B649)</f>
        <v/>
      </c>
      <c r="L701" s="3"/>
      <c r="M701" s="4"/>
      <c r="N701" s="4"/>
    </row>
    <row r="702" spans="2:14" x14ac:dyDescent="0.25">
      <c r="B702" s="3"/>
      <c r="C702" s="3"/>
      <c r="D702" s="3"/>
      <c r="E702" s="3"/>
      <c r="F702" s="3"/>
      <c r="G702" s="3"/>
      <c r="H702" s="3"/>
      <c r="I702" s="3"/>
      <c r="J702" s="3"/>
      <c r="K702" s="3" t="str">
        <f t="shared" si="975"/>
        <v/>
      </c>
      <c r="L702" s="3"/>
      <c r="M702" s="4"/>
      <c r="N702" s="4"/>
    </row>
    <row r="703" spans="2:14" x14ac:dyDescent="0.25">
      <c r="B703" s="3"/>
      <c r="C703" s="3"/>
      <c r="D703" s="3"/>
      <c r="E703" s="3"/>
      <c r="F703" s="3"/>
      <c r="G703" s="3"/>
      <c r="H703" s="3"/>
      <c r="I703" s="3"/>
      <c r="J703" s="3"/>
      <c r="K703" s="3" t="str">
        <f t="shared" si="975"/>
        <v/>
      </c>
      <c r="L703" s="3"/>
      <c r="M703" s="4"/>
      <c r="N703" s="4"/>
    </row>
    <row r="704" spans="2:14" x14ac:dyDescent="0.25">
      <c r="B704" s="3"/>
      <c r="C704" s="3"/>
      <c r="D704" s="3"/>
      <c r="E704" s="3"/>
      <c r="F704" s="3"/>
      <c r="G704" s="3"/>
      <c r="H704" s="3"/>
      <c r="I704" s="3"/>
      <c r="J704" s="3"/>
      <c r="K704" s="3" t="str">
        <f t="shared" si="975"/>
        <v/>
      </c>
      <c r="L704" s="3"/>
      <c r="M704" s="4"/>
      <c r="N704" s="4"/>
    </row>
    <row r="705" spans="2:14" x14ac:dyDescent="0.25">
      <c r="B705" s="3"/>
      <c r="C705" s="3"/>
      <c r="D705" s="3"/>
      <c r="E705" s="3"/>
      <c r="F705" s="3"/>
      <c r="G705" s="3"/>
      <c r="H705" s="3"/>
      <c r="I705" s="3"/>
      <c r="J705" s="3"/>
      <c r="K705" s="3" t="str">
        <f t="shared" si="975"/>
        <v/>
      </c>
      <c r="L705" s="3"/>
      <c r="M705" s="4"/>
      <c r="N705" s="4"/>
    </row>
    <row r="706" spans="2:14" x14ac:dyDescent="0.25">
      <c r="B706" s="3"/>
      <c r="C706" s="3"/>
      <c r="D706" s="3"/>
      <c r="E706" s="3"/>
      <c r="F706" s="3"/>
      <c r="G706" s="3"/>
      <c r="H706" s="3"/>
      <c r="I706" s="3"/>
      <c r="J706" s="3"/>
      <c r="K706" s="3" t="str">
        <f t="shared" si="975"/>
        <v/>
      </c>
      <c r="L706" s="3"/>
      <c r="M706" s="4"/>
      <c r="N706" s="4"/>
    </row>
    <row r="707" spans="2:14" x14ac:dyDescent="0.25">
      <c r="B707" s="3"/>
      <c r="C707" s="3"/>
      <c r="D707" s="3"/>
      <c r="E707" s="3"/>
      <c r="F707" s="3"/>
      <c r="G707" s="3"/>
      <c r="H707" s="3"/>
      <c r="I707" s="3"/>
      <c r="J707" s="3"/>
      <c r="K707" s="3" t="str">
        <f t="shared" si="975"/>
        <v/>
      </c>
      <c r="L707" s="3"/>
      <c r="M707" s="4"/>
      <c r="N707" s="4"/>
    </row>
    <row r="708" spans="2:14" x14ac:dyDescent="0.25">
      <c r="B708" s="3"/>
      <c r="C708" s="3"/>
      <c r="D708" s="3"/>
      <c r="E708" s="3"/>
      <c r="F708" s="3"/>
      <c r="G708" s="3"/>
      <c r="H708" s="3"/>
      <c r="I708" s="3"/>
      <c r="J708" s="3"/>
      <c r="K708" s="3" t="str">
        <f t="shared" si="975"/>
        <v/>
      </c>
      <c r="L708" s="3"/>
      <c r="M708" s="4"/>
      <c r="N708" s="4"/>
    </row>
    <row r="709" spans="2:14" x14ac:dyDescent="0.25">
      <c r="B709" s="3"/>
      <c r="C709" s="3"/>
      <c r="D709" s="3"/>
      <c r="E709" s="3"/>
      <c r="F709" s="3"/>
      <c r="G709" s="3"/>
      <c r="H709" s="3"/>
      <c r="I709" s="3"/>
      <c r="J709" s="3"/>
      <c r="K709" s="3" t="str">
        <f t="shared" si="975"/>
        <v/>
      </c>
      <c r="L709" s="3"/>
      <c r="M709" s="4"/>
      <c r="N709" s="4"/>
    </row>
    <row r="710" spans="2:14" x14ac:dyDescent="0.25">
      <c r="B710" s="3"/>
      <c r="C710" s="3"/>
      <c r="D710" s="3"/>
      <c r="E710" s="3"/>
      <c r="F710" s="3"/>
      <c r="G710" s="3"/>
      <c r="H710" s="3"/>
      <c r="I710" s="3"/>
      <c r="J710" s="3"/>
      <c r="K710" s="3" t="str">
        <f t="shared" si="975"/>
        <v/>
      </c>
      <c r="L710" s="3"/>
      <c r="M710" s="4"/>
      <c r="N710" s="4"/>
    </row>
    <row r="711" spans="2:14" x14ac:dyDescent="0.25">
      <c r="B711" s="3"/>
      <c r="C711" s="3"/>
      <c r="D711" s="3"/>
      <c r="E711" s="3"/>
      <c r="F711" s="3"/>
      <c r="G711" s="3"/>
      <c r="H711" s="3"/>
      <c r="I711" s="3"/>
      <c r="J711" s="3"/>
      <c r="K711" s="3" t="str">
        <f t="shared" si="975"/>
        <v/>
      </c>
      <c r="L711" s="3"/>
      <c r="M711" s="4"/>
      <c r="N711" s="4"/>
    </row>
    <row r="712" spans="2:14" x14ac:dyDescent="0.25">
      <c r="B712" s="3"/>
      <c r="C712" s="3"/>
      <c r="D712" s="3"/>
      <c r="E712" s="3"/>
      <c r="F712" s="3"/>
      <c r="G712" s="3"/>
      <c r="H712" s="3"/>
      <c r="I712" s="3"/>
      <c r="J712" s="3"/>
      <c r="K712" s="3" t="str">
        <f t="shared" si="975"/>
        <v/>
      </c>
      <c r="L712" s="3"/>
      <c r="M712" s="4"/>
      <c r="N712" s="4"/>
    </row>
    <row r="713" spans="2:14" x14ac:dyDescent="0.25">
      <c r="B713" s="3"/>
      <c r="C713" s="3"/>
      <c r="D713" s="3"/>
      <c r="E713" s="3"/>
      <c r="F713" s="3"/>
      <c r="G713" s="3"/>
      <c r="H713" s="3"/>
      <c r="I713" s="3"/>
      <c r="J713" s="3"/>
      <c r="K713" s="3" t="str">
        <f t="shared" si="975"/>
        <v/>
      </c>
      <c r="L713" s="3"/>
      <c r="M713" s="4"/>
      <c r="N713" s="4"/>
    </row>
    <row r="714" spans="2:14" x14ac:dyDescent="0.25">
      <c r="B714" s="3"/>
      <c r="C714" s="3"/>
      <c r="D714" s="3"/>
      <c r="E714" s="3"/>
      <c r="F714" s="3"/>
      <c r="G714" s="3"/>
      <c r="H714" s="3"/>
      <c r="I714" s="3"/>
      <c r="J714" s="3"/>
    </row>
    <row r="715" spans="2:14" x14ac:dyDescent="0.25">
      <c r="B715" s="3"/>
      <c r="C715" s="3"/>
      <c r="D715" s="3"/>
      <c r="E715" s="3"/>
      <c r="F715" s="3"/>
      <c r="G715" s="3"/>
      <c r="H715" s="3"/>
      <c r="I715" s="3"/>
      <c r="J715" s="3"/>
    </row>
    <row r="716" spans="2:14" x14ac:dyDescent="0.25">
      <c r="B716" s="3"/>
      <c r="C716" s="3"/>
      <c r="D716" s="3"/>
      <c r="E716" s="3"/>
      <c r="F716" s="3"/>
      <c r="G716" s="3"/>
      <c r="H716" s="3"/>
      <c r="I716" s="3"/>
      <c r="J716" s="3"/>
    </row>
    <row r="717" spans="2:14" x14ac:dyDescent="0.25">
      <c r="B717" s="3"/>
      <c r="C717" s="3"/>
      <c r="D717" s="3"/>
      <c r="E717" s="3"/>
      <c r="F717" s="3"/>
      <c r="G717" s="3"/>
      <c r="H717" s="3"/>
      <c r="I717" s="3"/>
      <c r="J717" s="3"/>
    </row>
    <row r="718" spans="2:14" x14ac:dyDescent="0.25">
      <c r="B718" s="3"/>
      <c r="C718" s="3"/>
      <c r="D718" s="3"/>
      <c r="E718" s="3"/>
      <c r="F718" s="3"/>
      <c r="G718" s="3"/>
      <c r="H718" s="3"/>
      <c r="I718" s="3"/>
      <c r="J718" s="3"/>
    </row>
    <row r="719" spans="2:14" x14ac:dyDescent="0.25">
      <c r="B719" s="3"/>
      <c r="C719" s="3"/>
      <c r="D719" s="3"/>
      <c r="E719" s="3"/>
      <c r="F719" s="3"/>
      <c r="G719" s="3"/>
      <c r="H719" s="3"/>
      <c r="I719" s="3"/>
      <c r="J719" s="3"/>
    </row>
    <row r="720" spans="2:14" x14ac:dyDescent="0.25">
      <c r="B720" s="3"/>
      <c r="C720" s="3"/>
      <c r="D720" s="3"/>
      <c r="E720" s="3"/>
      <c r="F720" s="3"/>
      <c r="G720" s="3"/>
      <c r="H720" s="3"/>
      <c r="I720" s="3"/>
      <c r="J720" s="3"/>
    </row>
    <row r="721" spans="2:10" x14ac:dyDescent="0.25">
      <c r="B721" s="3"/>
      <c r="C721" s="3"/>
      <c r="D721" s="3"/>
      <c r="E721" s="3"/>
      <c r="F721" s="3"/>
      <c r="G721" s="3"/>
      <c r="H721" s="3"/>
      <c r="I721" s="3"/>
      <c r="J721" s="3"/>
    </row>
    <row r="722" spans="2:10" x14ac:dyDescent="0.25">
      <c r="B722" s="3"/>
      <c r="C722" s="3"/>
      <c r="D722" s="3"/>
      <c r="E722" s="3"/>
      <c r="F722" s="3"/>
      <c r="G722" s="3"/>
      <c r="H722" s="3"/>
      <c r="I722" s="3"/>
      <c r="J722" s="3"/>
    </row>
    <row r="723" spans="2:10" x14ac:dyDescent="0.25">
      <c r="B723" s="3"/>
      <c r="C723" s="3"/>
      <c r="D723" s="3"/>
      <c r="E723" s="3"/>
      <c r="F723" s="3"/>
      <c r="G723" s="3"/>
      <c r="H723" s="3"/>
      <c r="I723" s="3"/>
      <c r="J723" s="3"/>
    </row>
    <row r="724" spans="2:10" x14ac:dyDescent="0.25">
      <c r="B724" s="3"/>
      <c r="C724" s="3"/>
      <c r="D724" s="3"/>
      <c r="E724" s="3"/>
      <c r="F724" s="3"/>
      <c r="G724" s="3"/>
      <c r="H724" s="3"/>
      <c r="I724" s="3"/>
      <c r="J724" s="3"/>
    </row>
    <row r="725" spans="2:10" x14ac:dyDescent="0.25">
      <c r="B725" s="3"/>
      <c r="C725" s="3"/>
      <c r="D725" s="3"/>
      <c r="E725" s="3"/>
      <c r="F725" s="3"/>
      <c r="G725" s="3"/>
      <c r="H725" s="3"/>
      <c r="I725" s="3"/>
      <c r="J725" s="3"/>
    </row>
    <row r="726" spans="2:10" x14ac:dyDescent="0.25">
      <c r="B726" s="3"/>
      <c r="C726" s="3"/>
      <c r="D726" s="3"/>
      <c r="E726" s="3"/>
      <c r="F726" s="3"/>
      <c r="G726" s="3"/>
      <c r="H726" s="3"/>
      <c r="I726" s="3"/>
      <c r="J726" s="3"/>
    </row>
    <row r="727" spans="2:10" x14ac:dyDescent="0.25">
      <c r="B727" s="3"/>
      <c r="C727" s="3"/>
      <c r="D727" s="3"/>
      <c r="E727" s="3"/>
      <c r="F727" s="3"/>
      <c r="G727" s="3"/>
      <c r="H727" s="3"/>
      <c r="I727" s="3"/>
      <c r="J727" s="3"/>
    </row>
    <row r="728" spans="2:10" x14ac:dyDescent="0.25">
      <c r="B728" s="3"/>
      <c r="C728" s="3"/>
      <c r="D728" s="3"/>
      <c r="E728" s="3"/>
      <c r="F728" s="3"/>
      <c r="G728" s="3"/>
      <c r="H728" s="3"/>
      <c r="I728" s="3"/>
      <c r="J728" s="3"/>
    </row>
    <row r="729" spans="2:10" x14ac:dyDescent="0.25">
      <c r="B729" s="3"/>
      <c r="C729" s="3"/>
      <c r="D729" s="3"/>
      <c r="E729" s="3"/>
      <c r="F729" s="3"/>
      <c r="G729" s="3"/>
      <c r="H729" s="3"/>
      <c r="I729" s="3"/>
      <c r="J729" s="3"/>
    </row>
    <row r="730" spans="2:10" x14ac:dyDescent="0.25">
      <c r="B730" s="3"/>
      <c r="C730" s="3"/>
      <c r="D730" s="3"/>
      <c r="E730" s="3"/>
      <c r="F730" s="3"/>
      <c r="G730" s="3"/>
      <c r="H730" s="3"/>
      <c r="I730" s="3"/>
      <c r="J730" s="3"/>
    </row>
    <row r="731" spans="2:10" x14ac:dyDescent="0.25">
      <c r="B731" s="3"/>
      <c r="C731" s="3"/>
      <c r="D731" s="3"/>
      <c r="E731" s="3"/>
      <c r="F731" s="3"/>
      <c r="G731" s="3"/>
      <c r="H731" s="3"/>
      <c r="I731" s="3"/>
      <c r="J731" s="3"/>
    </row>
    <row r="732" spans="2:10" x14ac:dyDescent="0.25">
      <c r="B732" s="3"/>
      <c r="C732" s="3"/>
      <c r="D732" s="3"/>
      <c r="E732" s="3"/>
      <c r="F732" s="3"/>
      <c r="G732" s="3"/>
      <c r="H732" s="3"/>
      <c r="I732" s="3"/>
      <c r="J732" s="3"/>
    </row>
    <row r="733" spans="2:10" x14ac:dyDescent="0.25">
      <c r="B733" s="3"/>
      <c r="C733" s="3"/>
      <c r="D733" s="3"/>
      <c r="E733" s="3"/>
      <c r="F733" s="3"/>
      <c r="G733" s="3"/>
      <c r="H733" s="3"/>
      <c r="I733" s="3"/>
      <c r="J733" s="3"/>
    </row>
    <row r="734" spans="2:10" x14ac:dyDescent="0.25">
      <c r="B734" s="3"/>
      <c r="C734" s="3"/>
      <c r="D734" s="3"/>
      <c r="E734" s="3"/>
      <c r="F734" s="3"/>
      <c r="G734" s="3"/>
      <c r="H734" s="3"/>
      <c r="I734" s="3"/>
      <c r="J734" s="3"/>
    </row>
    <row r="735" spans="2:10" x14ac:dyDescent="0.25">
      <c r="B735" s="3"/>
      <c r="C735" s="3"/>
      <c r="D735" s="3"/>
      <c r="E735" s="3"/>
      <c r="F735" s="3"/>
      <c r="G735" s="3"/>
      <c r="H735" s="3"/>
      <c r="I735" s="3"/>
      <c r="J735" s="3"/>
    </row>
    <row r="736" spans="2:10" x14ac:dyDescent="0.25">
      <c r="B736" s="3"/>
      <c r="C736" s="3"/>
      <c r="D736" s="3"/>
      <c r="E736" s="3"/>
      <c r="F736" s="3"/>
      <c r="G736" s="3"/>
      <c r="H736" s="3"/>
      <c r="I736" s="3"/>
      <c r="J736" s="3"/>
    </row>
    <row r="737" spans="2:10" x14ac:dyDescent="0.25">
      <c r="B737" s="3"/>
      <c r="C737" s="3"/>
      <c r="D737" s="3"/>
      <c r="E737" s="3"/>
      <c r="F737" s="3"/>
      <c r="G737" s="3"/>
      <c r="H737" s="3"/>
      <c r="I737" s="3"/>
      <c r="J737" s="3"/>
    </row>
    <row r="738" spans="2:10" x14ac:dyDescent="0.25">
      <c r="B738" s="3"/>
      <c r="C738" s="3"/>
      <c r="D738" s="3"/>
      <c r="E738" s="3"/>
      <c r="F738" s="3"/>
      <c r="G738" s="3"/>
      <c r="H738" s="3"/>
      <c r="I738" s="3"/>
      <c r="J738" s="3"/>
    </row>
    <row r="739" spans="2:10" x14ac:dyDescent="0.25">
      <c r="B739" s="3"/>
      <c r="C739" s="3"/>
      <c r="D739" s="3"/>
      <c r="E739" s="3"/>
      <c r="F739" s="3"/>
      <c r="G739" s="3"/>
      <c r="H739" s="3"/>
      <c r="I739" s="3"/>
      <c r="J739" s="3"/>
    </row>
    <row r="740" spans="2:10" x14ac:dyDescent="0.25">
      <c r="B740" s="3"/>
      <c r="C740" s="3"/>
      <c r="D740" s="3"/>
      <c r="E740" s="3"/>
      <c r="F740" s="3"/>
      <c r="G740" s="3"/>
      <c r="H740" s="3"/>
      <c r="I740" s="3"/>
      <c r="J740" s="3"/>
    </row>
    <row r="741" spans="2:10" x14ac:dyDescent="0.25">
      <c r="B741" s="3"/>
      <c r="C741" s="3"/>
      <c r="D741" s="3"/>
      <c r="E741" s="3"/>
      <c r="F741" s="3"/>
      <c r="G741" s="3"/>
      <c r="H741" s="3"/>
      <c r="I741" s="3"/>
      <c r="J741" s="3"/>
    </row>
    <row r="742" spans="2:10" x14ac:dyDescent="0.25">
      <c r="B742" s="3"/>
      <c r="C742" s="3"/>
      <c r="D742" s="3"/>
      <c r="E742" s="3"/>
      <c r="F742" s="3"/>
      <c r="G742" s="3"/>
      <c r="H742" s="3"/>
      <c r="I742" s="3"/>
      <c r="J742" s="3"/>
    </row>
    <row r="743" spans="2:10" x14ac:dyDescent="0.25">
      <c r="B743" s="3"/>
      <c r="C743" s="3"/>
      <c r="D743" s="3"/>
      <c r="E743" s="3"/>
      <c r="F743" s="3"/>
      <c r="G743" s="3"/>
      <c r="H743" s="3"/>
      <c r="I743" s="3"/>
      <c r="J743" s="3"/>
    </row>
    <row r="744" spans="2:10" x14ac:dyDescent="0.25">
      <c r="B744" s="3"/>
      <c r="C744" s="3"/>
      <c r="D744" s="3"/>
      <c r="E744" s="3"/>
      <c r="F744" s="3"/>
      <c r="G744" s="3"/>
      <c r="H744" s="3"/>
      <c r="I744" s="3"/>
      <c r="J744" s="3"/>
    </row>
    <row r="745" spans="2:10" x14ac:dyDescent="0.25">
      <c r="B745" s="3"/>
      <c r="C745" s="3"/>
      <c r="D745" s="3"/>
      <c r="E745" s="3"/>
      <c r="F745" s="3"/>
      <c r="G745" s="3"/>
      <c r="H745" s="3"/>
      <c r="I745" s="3"/>
      <c r="J745" s="3"/>
    </row>
    <row r="746" spans="2:10" x14ac:dyDescent="0.25">
      <c r="B746" s="3"/>
      <c r="C746" s="3"/>
      <c r="D746" s="3"/>
      <c r="E746" s="3"/>
      <c r="F746" s="3"/>
      <c r="G746" s="3"/>
      <c r="H746" s="3"/>
      <c r="I746" s="3"/>
      <c r="J746" s="3"/>
    </row>
    <row r="747" spans="2:10" x14ac:dyDescent="0.25">
      <c r="B747" s="3"/>
      <c r="C747" s="3"/>
      <c r="D747" s="3"/>
      <c r="E747" s="3"/>
      <c r="F747" s="3"/>
      <c r="G747" s="3"/>
      <c r="H747" s="3"/>
      <c r="I747" s="3"/>
      <c r="J747" s="3"/>
    </row>
    <row r="748" spans="2:10" x14ac:dyDescent="0.25">
      <c r="B748" s="3"/>
      <c r="C748" s="3"/>
      <c r="D748" s="3"/>
      <c r="E748" s="3"/>
      <c r="F748" s="3"/>
      <c r="G748" s="3"/>
      <c r="H748" s="3"/>
      <c r="I748" s="3"/>
      <c r="J748" s="3"/>
    </row>
    <row r="749" spans="2:10" x14ac:dyDescent="0.25">
      <c r="B749" s="3"/>
      <c r="C749" s="3"/>
      <c r="D749" s="3"/>
      <c r="E749" s="3"/>
      <c r="F749" s="3"/>
      <c r="G749" s="3"/>
      <c r="H749" s="3"/>
      <c r="I749" s="3"/>
      <c r="J749" s="3"/>
    </row>
    <row r="750" spans="2:10" x14ac:dyDescent="0.25">
      <c r="B750" s="3"/>
      <c r="C750" s="3"/>
      <c r="D750" s="3"/>
      <c r="E750" s="3"/>
      <c r="F750" s="3"/>
      <c r="G750" s="3"/>
      <c r="H750" s="3"/>
      <c r="I750" s="3"/>
      <c r="J750" s="3"/>
    </row>
    <row r="751" spans="2:10" x14ac:dyDescent="0.25">
      <c r="B751" s="3"/>
      <c r="C751" s="3"/>
      <c r="D751" s="3"/>
      <c r="E751" s="3"/>
      <c r="F751" s="3"/>
      <c r="G751" s="3"/>
      <c r="H751" s="3"/>
      <c r="I751" s="3"/>
      <c r="J751" s="3"/>
    </row>
    <row r="752" spans="2:10" x14ac:dyDescent="0.25">
      <c r="B752" s="3"/>
      <c r="C752" s="3"/>
      <c r="D752" s="3"/>
      <c r="E752" s="3"/>
      <c r="F752" s="3"/>
      <c r="G752" s="3"/>
      <c r="H752" s="3"/>
      <c r="I752" s="3"/>
      <c r="J752" s="3"/>
    </row>
    <row r="753" spans="2:10" x14ac:dyDescent="0.25">
      <c r="B753" s="3"/>
      <c r="C753" s="3"/>
      <c r="D753" s="3"/>
      <c r="E753" s="3"/>
      <c r="F753" s="3"/>
      <c r="G753" s="3"/>
      <c r="H753" s="3"/>
      <c r="I753" s="3"/>
      <c r="J753" s="3"/>
    </row>
    <row r="754" spans="2:10" x14ac:dyDescent="0.25">
      <c r="B754" s="3"/>
      <c r="C754" s="3"/>
      <c r="D754" s="3"/>
      <c r="E754" s="3"/>
      <c r="F754" s="3"/>
      <c r="G754" s="3"/>
      <c r="H754" s="3"/>
      <c r="I754" s="3"/>
      <c r="J754" s="3"/>
    </row>
    <row r="755" spans="2:10" x14ac:dyDescent="0.25">
      <c r="B755" s="3"/>
      <c r="C755" s="3"/>
      <c r="D755" s="3"/>
      <c r="E755" s="3"/>
      <c r="F755" s="3"/>
      <c r="G755" s="3"/>
      <c r="H755" s="3"/>
      <c r="I755" s="3"/>
      <c r="J755" s="3"/>
    </row>
    <row r="756" spans="2:10" x14ac:dyDescent="0.25">
      <c r="B756" s="3"/>
      <c r="C756" s="3"/>
      <c r="D756" s="3"/>
      <c r="E756" s="3"/>
      <c r="F756" s="3"/>
      <c r="G756" s="3"/>
      <c r="H756" s="3"/>
      <c r="I756" s="3"/>
      <c r="J756" s="3"/>
    </row>
    <row r="757" spans="2:10" x14ac:dyDescent="0.25">
      <c r="B757" s="3"/>
      <c r="C757" s="3"/>
      <c r="D757" s="3"/>
      <c r="E757" s="3"/>
      <c r="F757" s="3"/>
      <c r="G757" s="3"/>
      <c r="H757" s="3"/>
      <c r="I757" s="3"/>
      <c r="J757" s="3"/>
    </row>
    <row r="758" spans="2:10" x14ac:dyDescent="0.25">
      <c r="B758" s="3"/>
      <c r="C758" s="3"/>
      <c r="D758" s="3"/>
      <c r="E758" s="3"/>
      <c r="F758" s="3"/>
      <c r="G758" s="3"/>
      <c r="H758" s="3"/>
      <c r="I758" s="3"/>
      <c r="J758" s="3"/>
    </row>
    <row r="759" spans="2:10" x14ac:dyDescent="0.25">
      <c r="B759" s="3"/>
      <c r="C759" s="3"/>
      <c r="D759" s="3"/>
      <c r="E759" s="3"/>
      <c r="F759" s="3"/>
      <c r="G759" s="3"/>
      <c r="H759" s="3"/>
      <c r="I759" s="3"/>
      <c r="J759" s="3"/>
    </row>
    <row r="760" spans="2:10" x14ac:dyDescent="0.25">
      <c r="B760" s="3"/>
      <c r="C760" s="3"/>
      <c r="D760" s="3"/>
      <c r="E760" s="3"/>
      <c r="F760" s="3"/>
      <c r="G760" s="3"/>
      <c r="H760" s="3"/>
      <c r="I760" s="3"/>
      <c r="J760" s="3"/>
    </row>
    <row r="761" spans="2:10" x14ac:dyDescent="0.25">
      <c r="B761" s="3"/>
      <c r="C761" s="3"/>
      <c r="D761" s="3"/>
      <c r="E761" s="3"/>
      <c r="F761" s="3"/>
      <c r="G761" s="3"/>
      <c r="H761" s="3"/>
      <c r="I761" s="3"/>
      <c r="J761" s="3"/>
    </row>
    <row r="762" spans="2:10" x14ac:dyDescent="0.25">
      <c r="B762" s="3"/>
      <c r="C762" s="3"/>
      <c r="D762" s="3"/>
      <c r="E762" s="3"/>
      <c r="F762" s="3"/>
      <c r="G762" s="3"/>
      <c r="H762" s="3"/>
      <c r="I762" s="3"/>
      <c r="J762" s="3"/>
    </row>
    <row r="763" spans="2:10" x14ac:dyDescent="0.25">
      <c r="B763" s="3"/>
      <c r="C763" s="3"/>
      <c r="D763" s="3"/>
      <c r="E763" s="3"/>
      <c r="F763" s="3"/>
      <c r="G763" s="3"/>
      <c r="H763" s="3"/>
      <c r="I763" s="3"/>
      <c r="J763" s="3"/>
    </row>
    <row r="764" spans="2:10" x14ac:dyDescent="0.25">
      <c r="B764" s="3"/>
      <c r="C764" s="3"/>
      <c r="D764" s="3"/>
      <c r="E764" s="3"/>
      <c r="F764" s="3"/>
      <c r="G764" s="3"/>
      <c r="H764" s="3"/>
      <c r="I764" s="3"/>
      <c r="J764" s="3"/>
    </row>
    <row r="765" spans="2:10" x14ac:dyDescent="0.25">
      <c r="B765" s="3"/>
      <c r="C765" s="3"/>
      <c r="D765" s="3"/>
      <c r="E765" s="3"/>
      <c r="F765" s="3"/>
      <c r="G765" s="3"/>
      <c r="H765" s="3"/>
      <c r="I765" s="3"/>
      <c r="J765" s="3"/>
    </row>
    <row r="766" spans="2:10" x14ac:dyDescent="0.25">
      <c r="B766" s="3"/>
      <c r="C766" s="3"/>
      <c r="D766" s="3"/>
      <c r="E766" s="3"/>
      <c r="F766" s="3"/>
      <c r="G766" s="3"/>
      <c r="H766" s="3"/>
      <c r="I766" s="3"/>
      <c r="J766" s="3"/>
    </row>
    <row r="767" spans="2:10" x14ac:dyDescent="0.25">
      <c r="B767" s="3"/>
      <c r="C767" s="3"/>
      <c r="D767" s="3"/>
      <c r="E767" s="3"/>
      <c r="F767" s="3"/>
      <c r="G767" s="3"/>
      <c r="H767" s="3"/>
      <c r="I767" s="3"/>
      <c r="J767" s="3"/>
    </row>
    <row r="768" spans="2:10" x14ac:dyDescent="0.25">
      <c r="B768" s="3"/>
      <c r="C768" s="3"/>
      <c r="D768" s="3"/>
      <c r="E768" s="3"/>
      <c r="F768" s="3"/>
      <c r="G768" s="3"/>
      <c r="H768" s="3"/>
      <c r="I768" s="3"/>
      <c r="J768" s="3"/>
    </row>
    <row r="769" spans="2:10" x14ac:dyDescent="0.25">
      <c r="B769" s="3"/>
      <c r="C769" s="3"/>
      <c r="D769" s="3"/>
      <c r="E769" s="3"/>
      <c r="F769" s="3"/>
      <c r="G769" s="3"/>
      <c r="H769" s="3"/>
      <c r="I769" s="3"/>
      <c r="J769" s="3"/>
    </row>
    <row r="770" spans="2:10" x14ac:dyDescent="0.25">
      <c r="B770" s="3"/>
      <c r="C770" s="3"/>
      <c r="D770" s="3"/>
      <c r="E770" s="3"/>
      <c r="F770" s="3"/>
      <c r="G770" s="3"/>
      <c r="H770" s="3"/>
      <c r="I770" s="3"/>
      <c r="J770" s="3"/>
    </row>
    <row r="771" spans="2:10" x14ac:dyDescent="0.25">
      <c r="B771" s="3"/>
      <c r="C771" s="3"/>
      <c r="D771" s="3"/>
      <c r="E771" s="3"/>
      <c r="F771" s="3"/>
      <c r="G771" s="3"/>
      <c r="H771" s="3"/>
      <c r="I771" s="3"/>
      <c r="J771" s="3"/>
    </row>
    <row r="772" spans="2:10" x14ac:dyDescent="0.25">
      <c r="B772" s="3"/>
      <c r="C772" s="3"/>
      <c r="D772" s="3"/>
      <c r="E772" s="3"/>
      <c r="F772" s="3"/>
      <c r="G772" s="3"/>
      <c r="H772" s="3"/>
      <c r="I772" s="3"/>
      <c r="J772" s="3"/>
    </row>
    <row r="773" spans="2:10" x14ac:dyDescent="0.25">
      <c r="B773" s="3"/>
      <c r="C773" s="3"/>
      <c r="D773" s="3"/>
      <c r="E773" s="3"/>
      <c r="F773" s="3"/>
      <c r="G773" s="3"/>
      <c r="H773" s="3"/>
      <c r="I773" s="3"/>
      <c r="J773" s="3"/>
    </row>
    <row r="774" spans="2:10" x14ac:dyDescent="0.25">
      <c r="B774" s="3"/>
      <c r="C774" s="3"/>
      <c r="D774" s="3"/>
      <c r="E774" s="3"/>
      <c r="F774" s="3"/>
      <c r="G774" s="3"/>
      <c r="H774" s="3"/>
      <c r="I774" s="3"/>
      <c r="J774" s="3"/>
    </row>
    <row r="775" spans="2:10" x14ac:dyDescent="0.25">
      <c r="B775" s="3"/>
      <c r="C775" s="3"/>
      <c r="D775" s="3"/>
      <c r="E775" s="3"/>
      <c r="F775" s="3"/>
      <c r="G775" s="3"/>
      <c r="H775" s="3"/>
      <c r="I775" s="3"/>
      <c r="J775" s="3"/>
    </row>
    <row r="776" spans="2:10" x14ac:dyDescent="0.25">
      <c r="B776" s="3"/>
      <c r="C776" s="3"/>
      <c r="D776" s="3"/>
      <c r="E776" s="3"/>
      <c r="F776" s="3"/>
      <c r="G776" s="3"/>
      <c r="H776" s="3"/>
      <c r="I776" s="3"/>
      <c r="J776" s="3"/>
    </row>
    <row r="777" spans="2:10" x14ac:dyDescent="0.25">
      <c r="B777" s="3"/>
      <c r="C777" s="3"/>
      <c r="D777" s="3"/>
      <c r="E777" s="3"/>
      <c r="F777" s="3"/>
      <c r="G777" s="3"/>
      <c r="H777" s="3"/>
      <c r="I777" s="3"/>
      <c r="J777" s="3"/>
    </row>
    <row r="778" spans="2:10" x14ac:dyDescent="0.25">
      <c r="B778" s="3"/>
      <c r="C778" s="3"/>
      <c r="D778" s="3"/>
      <c r="E778" s="3"/>
      <c r="F778" s="3"/>
      <c r="G778" s="3"/>
      <c r="H778" s="3"/>
      <c r="I778" s="3"/>
      <c r="J778" s="3"/>
    </row>
    <row r="779" spans="2:10" x14ac:dyDescent="0.25">
      <c r="B779" s="3"/>
      <c r="C779" s="3"/>
      <c r="D779" s="3"/>
      <c r="E779" s="3"/>
      <c r="F779" s="3"/>
      <c r="G779" s="3"/>
      <c r="H779" s="3"/>
      <c r="I779" s="3"/>
      <c r="J779" s="3"/>
    </row>
    <row r="780" spans="2:10" x14ac:dyDescent="0.25">
      <c r="B780" s="3"/>
      <c r="C780" s="3"/>
      <c r="D780" s="3"/>
      <c r="E780" s="3"/>
      <c r="F780" s="3"/>
      <c r="G780" s="3"/>
      <c r="H780" s="3"/>
      <c r="I780" s="3"/>
      <c r="J780" s="3"/>
    </row>
    <row r="781" spans="2:10" x14ac:dyDescent="0.25">
      <c r="B781" s="3"/>
      <c r="C781" s="3"/>
      <c r="D781" s="3"/>
      <c r="E781" s="3"/>
      <c r="F781" s="3"/>
      <c r="G781" s="3"/>
      <c r="H781" s="3"/>
      <c r="I781" s="3"/>
      <c r="J781" s="3"/>
    </row>
    <row r="782" spans="2:10" x14ac:dyDescent="0.25">
      <c r="B782" s="3"/>
      <c r="C782" s="3"/>
      <c r="D782" s="3"/>
      <c r="E782" s="3"/>
      <c r="F782" s="3"/>
      <c r="G782" s="3"/>
      <c r="H782" s="3"/>
      <c r="I782" s="3"/>
      <c r="J782" s="3"/>
    </row>
    <row r="783" spans="2:10" x14ac:dyDescent="0.25">
      <c r="B783" s="3"/>
      <c r="C783" s="3"/>
      <c r="D783" s="3"/>
      <c r="E783" s="3"/>
      <c r="F783" s="3"/>
      <c r="G783" s="3"/>
      <c r="H783" s="3"/>
      <c r="I783" s="3"/>
      <c r="J783" s="3"/>
    </row>
    <row r="784" spans="2:10" x14ac:dyDescent="0.25">
      <c r="B784" s="3"/>
      <c r="C784" s="3"/>
      <c r="D784" s="3"/>
      <c r="E784" s="3"/>
      <c r="F784" s="3"/>
      <c r="G784" s="3"/>
      <c r="H784" s="3"/>
      <c r="I784" s="3"/>
      <c r="J784" s="3"/>
    </row>
    <row r="785" spans="2:10" x14ac:dyDescent="0.25">
      <c r="B785" s="3"/>
      <c r="C785" s="3"/>
      <c r="D785" s="3"/>
      <c r="E785" s="3"/>
      <c r="F785" s="3"/>
      <c r="G785" s="3"/>
      <c r="H785" s="3"/>
      <c r="I785" s="3"/>
      <c r="J785" s="3"/>
    </row>
    <row r="786" spans="2:10" x14ac:dyDescent="0.25">
      <c r="B786" s="3"/>
      <c r="C786" s="3"/>
      <c r="D786" s="3"/>
      <c r="E786" s="3"/>
      <c r="F786" s="3"/>
      <c r="G786" s="3"/>
      <c r="H786" s="3"/>
      <c r="I786" s="3"/>
      <c r="J786" s="3"/>
    </row>
    <row r="787" spans="2:10" x14ac:dyDescent="0.25">
      <c r="B787" s="3"/>
      <c r="C787" s="3"/>
      <c r="D787" s="3"/>
      <c r="E787" s="3"/>
      <c r="F787" s="3"/>
      <c r="G787" s="3"/>
      <c r="H787" s="3"/>
      <c r="I787" s="3"/>
      <c r="J787" s="3"/>
    </row>
    <row r="788" spans="2:10" x14ac:dyDescent="0.25">
      <c r="B788" s="3"/>
      <c r="C788" s="3"/>
      <c r="D788" s="3"/>
      <c r="E788" s="3"/>
      <c r="F788" s="3"/>
      <c r="G788" s="3"/>
      <c r="H788" s="3"/>
      <c r="I788" s="3"/>
      <c r="J788" s="3"/>
    </row>
    <row r="789" spans="2:10" x14ac:dyDescent="0.25">
      <c r="B789" s="3"/>
      <c r="C789" s="3"/>
      <c r="D789" s="3"/>
      <c r="E789" s="3"/>
      <c r="F789" s="3"/>
      <c r="G789" s="3"/>
      <c r="H789" s="3"/>
      <c r="I789" s="3"/>
      <c r="J789" s="3"/>
    </row>
    <row r="790" spans="2:10" x14ac:dyDescent="0.25">
      <c r="B790" s="3"/>
      <c r="C790" s="3"/>
      <c r="D790" s="3"/>
      <c r="E790" s="3"/>
      <c r="F790" s="3"/>
      <c r="G790" s="3"/>
      <c r="H790" s="3"/>
      <c r="I790" s="3"/>
      <c r="J790" s="3"/>
    </row>
    <row r="791" spans="2:10" x14ac:dyDescent="0.25">
      <c r="B791" s="3"/>
      <c r="C791" s="3"/>
      <c r="D791" s="3"/>
      <c r="E791" s="3"/>
      <c r="F791" s="3"/>
      <c r="G791" s="3"/>
      <c r="H791" s="3"/>
      <c r="I791" s="3"/>
      <c r="J791" s="3"/>
    </row>
    <row r="792" spans="2:10" x14ac:dyDescent="0.25">
      <c r="B792" s="3"/>
      <c r="C792" s="3"/>
      <c r="D792" s="3"/>
      <c r="E792" s="3"/>
      <c r="F792" s="3"/>
      <c r="G792" s="3"/>
      <c r="H792" s="3"/>
      <c r="I792" s="3"/>
      <c r="J792" s="3"/>
    </row>
    <row r="793" spans="2:10" x14ac:dyDescent="0.25">
      <c r="B793" s="3"/>
      <c r="C793" s="3"/>
      <c r="D793" s="3"/>
      <c r="E793" s="3"/>
      <c r="F793" s="3"/>
      <c r="G793" s="3"/>
      <c r="H793" s="3"/>
      <c r="I793" s="3"/>
      <c r="J793" s="3"/>
    </row>
    <row r="794" spans="2:10" x14ac:dyDescent="0.25">
      <c r="B794" s="3"/>
      <c r="C794" s="3"/>
      <c r="D794" s="3"/>
      <c r="E794" s="3"/>
      <c r="F794" s="3"/>
      <c r="G794" s="3"/>
      <c r="H794" s="3"/>
      <c r="I794" s="3"/>
      <c r="J794" s="3"/>
    </row>
    <row r="795" spans="2:10" x14ac:dyDescent="0.25">
      <c r="B795" s="3"/>
      <c r="C795" s="3"/>
      <c r="D795" s="3"/>
      <c r="E795" s="3"/>
      <c r="F795" s="3"/>
      <c r="G795" s="3"/>
      <c r="H795" s="3"/>
      <c r="I795" s="3"/>
      <c r="J795" s="3"/>
    </row>
    <row r="796" spans="2:10" x14ac:dyDescent="0.25">
      <c r="B796" s="3"/>
      <c r="C796" s="3"/>
      <c r="D796" s="3"/>
      <c r="E796" s="3"/>
      <c r="F796" s="3"/>
      <c r="G796" s="3"/>
      <c r="H796" s="3"/>
      <c r="I796" s="3"/>
      <c r="J796" s="3"/>
    </row>
    <row r="797" spans="2:10" x14ac:dyDescent="0.25">
      <c r="B797" s="3"/>
      <c r="C797" s="3"/>
      <c r="D797" s="3"/>
      <c r="E797" s="3"/>
      <c r="F797" s="3"/>
      <c r="G797" s="3"/>
      <c r="H797" s="3"/>
      <c r="I797" s="3"/>
      <c r="J797" s="3"/>
    </row>
    <row r="798" spans="2:10" x14ac:dyDescent="0.25">
      <c r="B798" s="3"/>
      <c r="C798" s="3"/>
      <c r="D798" s="3"/>
      <c r="E798" s="3"/>
      <c r="F798" s="3"/>
      <c r="G798" s="3"/>
      <c r="H798" s="3"/>
      <c r="I798" s="3"/>
      <c r="J798" s="3"/>
    </row>
    <row r="799" spans="2:10" x14ac:dyDescent="0.25">
      <c r="B799" s="3"/>
      <c r="C799" s="3"/>
      <c r="D799" s="3"/>
      <c r="E799" s="3"/>
      <c r="F799" s="3"/>
      <c r="G799" s="3"/>
      <c r="H799" s="3"/>
      <c r="I799" s="3"/>
      <c r="J799" s="3"/>
    </row>
    <row r="800" spans="2:10" x14ac:dyDescent="0.25">
      <c r="B800" s="3"/>
      <c r="C800" s="3"/>
      <c r="D800" s="3"/>
      <c r="E800" s="3"/>
      <c r="F800" s="3"/>
      <c r="G800" s="3"/>
      <c r="H800" s="3"/>
      <c r="I800" s="3"/>
      <c r="J800" s="3"/>
    </row>
    <row r="801" spans="2:10" x14ac:dyDescent="0.25">
      <c r="B801" s="3"/>
      <c r="C801" s="3"/>
      <c r="D801" s="3"/>
      <c r="E801" s="3"/>
      <c r="F801" s="3"/>
      <c r="G801" s="3"/>
      <c r="H801" s="3"/>
      <c r="I801" s="3"/>
      <c r="J801" s="3"/>
    </row>
    <row r="802" spans="2:10" x14ac:dyDescent="0.25">
      <c r="B802" s="3"/>
      <c r="C802" s="3"/>
      <c r="D802" s="3"/>
      <c r="E802" s="3"/>
      <c r="F802" s="3"/>
      <c r="G802" s="3"/>
      <c r="H802" s="3"/>
      <c r="I802" s="3"/>
      <c r="J802" s="3"/>
    </row>
    <row r="803" spans="2:10" x14ac:dyDescent="0.25">
      <c r="B803" s="3"/>
      <c r="C803" s="3"/>
      <c r="D803" s="3"/>
      <c r="E803" s="3"/>
      <c r="F803" s="3"/>
      <c r="G803" s="3"/>
      <c r="H803" s="3"/>
      <c r="I803" s="3"/>
      <c r="J803" s="3"/>
    </row>
    <row r="804" spans="2:10" x14ac:dyDescent="0.25">
      <c r="B804" s="3"/>
      <c r="C804" s="3"/>
      <c r="D804" s="3"/>
      <c r="E804" s="3"/>
      <c r="F804" s="3"/>
      <c r="G804" s="3"/>
      <c r="H804" s="3"/>
      <c r="I804" s="3"/>
      <c r="J804" s="3"/>
    </row>
    <row r="805" spans="2:10" x14ac:dyDescent="0.25">
      <c r="B805" s="3"/>
      <c r="C805" s="3"/>
      <c r="D805" s="3"/>
      <c r="E805" s="3"/>
      <c r="F805" s="3"/>
      <c r="G805" s="3"/>
      <c r="H805" s="3"/>
      <c r="I805" s="3"/>
      <c r="J805" s="3"/>
    </row>
    <row r="806" spans="2:10" x14ac:dyDescent="0.25">
      <c r="B806" s="3"/>
      <c r="C806" s="3"/>
      <c r="D806" s="3"/>
      <c r="E806" s="3"/>
      <c r="F806" s="3"/>
      <c r="G806" s="3"/>
      <c r="H806" s="3"/>
      <c r="I806" s="3"/>
      <c r="J806" s="3"/>
    </row>
    <row r="807" spans="2:10" x14ac:dyDescent="0.25">
      <c r="B807" s="3"/>
      <c r="C807" s="3"/>
      <c r="D807" s="3"/>
      <c r="E807" s="3"/>
      <c r="F807" s="3"/>
      <c r="G807" s="3"/>
      <c r="H807" s="3"/>
      <c r="I807" s="3"/>
      <c r="J807" s="3"/>
    </row>
    <row r="808" spans="2:10" x14ac:dyDescent="0.25">
      <c r="B808" s="3"/>
      <c r="C808" s="3"/>
      <c r="D808" s="3"/>
      <c r="E808" s="3"/>
      <c r="F808" s="3"/>
      <c r="G808" s="3"/>
      <c r="H808" s="3"/>
      <c r="I808" s="3"/>
      <c r="J808" s="3"/>
    </row>
    <row r="809" spans="2:10" x14ac:dyDescent="0.25">
      <c r="B809" s="3"/>
      <c r="C809" s="3"/>
      <c r="D809" s="3"/>
      <c r="E809" s="3"/>
      <c r="F809" s="3"/>
      <c r="G809" s="3"/>
      <c r="H809" s="3"/>
      <c r="I809" s="3"/>
      <c r="J809" s="3"/>
    </row>
    <row r="810" spans="2:10" x14ac:dyDescent="0.25">
      <c r="B810" s="3"/>
      <c r="C810" s="3"/>
      <c r="D810" s="3"/>
      <c r="E810" s="3"/>
      <c r="F810" s="3"/>
      <c r="G810" s="3"/>
      <c r="H810" s="3"/>
      <c r="I810" s="3"/>
      <c r="J810" s="3"/>
    </row>
    <row r="811" spans="2:10" x14ac:dyDescent="0.25">
      <c r="B811" s="3"/>
      <c r="C811" s="3"/>
      <c r="D811" s="3"/>
      <c r="E811" s="3"/>
      <c r="F811" s="3"/>
      <c r="G811" s="3"/>
      <c r="H811" s="3"/>
      <c r="I811" s="3"/>
      <c r="J811" s="3"/>
    </row>
    <row r="812" spans="2:10" x14ac:dyDescent="0.25">
      <c r="B812" s="3"/>
      <c r="C812" s="3"/>
      <c r="D812" s="3"/>
      <c r="E812" s="3"/>
      <c r="F812" s="3"/>
      <c r="G812" s="3"/>
      <c r="H812" s="3"/>
      <c r="I812" s="3"/>
      <c r="J812" s="3"/>
    </row>
    <row r="813" spans="2:10" x14ac:dyDescent="0.25">
      <c r="B813" s="3"/>
      <c r="C813" s="3"/>
      <c r="D813" s="3"/>
      <c r="E813" s="3"/>
      <c r="F813" s="3"/>
      <c r="G813" s="3"/>
      <c r="H813" s="3"/>
      <c r="I813" s="3"/>
      <c r="J813" s="3"/>
    </row>
    <row r="814" spans="2:10" x14ac:dyDescent="0.25">
      <c r="B814" s="3"/>
      <c r="C814" s="3"/>
      <c r="D814" s="3"/>
      <c r="E814" s="3"/>
      <c r="F814" s="3"/>
      <c r="G814" s="3"/>
      <c r="H814" s="3"/>
      <c r="I814" s="3"/>
      <c r="J814" s="3"/>
    </row>
    <row r="815" spans="2:10" x14ac:dyDescent="0.25">
      <c r="B815" s="3"/>
      <c r="C815" s="3"/>
      <c r="D815" s="3"/>
      <c r="E815" s="3"/>
      <c r="F815" s="3"/>
      <c r="G815" s="3"/>
      <c r="H815" s="3"/>
      <c r="I815" s="3"/>
      <c r="J815" s="3"/>
    </row>
    <row r="816" spans="2:10" x14ac:dyDescent="0.25">
      <c r="B816" s="3"/>
      <c r="C816" s="3"/>
      <c r="D816" s="3"/>
      <c r="E816" s="3"/>
      <c r="F816" s="3"/>
      <c r="G816" s="3"/>
      <c r="H816" s="3"/>
      <c r="I816" s="3"/>
      <c r="J816" s="3"/>
    </row>
    <row r="817" spans="2:10" x14ac:dyDescent="0.25">
      <c r="B817" s="3"/>
      <c r="C817" s="3"/>
      <c r="D817" s="3"/>
      <c r="E817" s="3"/>
      <c r="F817" s="3"/>
      <c r="G817" s="3"/>
      <c r="H817" s="3"/>
      <c r="I817" s="3"/>
      <c r="J817" s="3"/>
    </row>
    <row r="818" spans="2:10" x14ac:dyDescent="0.25">
      <c r="B818" s="3"/>
      <c r="C818" s="3"/>
      <c r="D818" s="3"/>
      <c r="E818" s="3"/>
      <c r="F818" s="3"/>
      <c r="G818" s="3"/>
      <c r="H818" s="3"/>
      <c r="I818" s="3"/>
      <c r="J818" s="3"/>
    </row>
    <row r="819" spans="2:10" x14ac:dyDescent="0.25">
      <c r="B819" s="3"/>
      <c r="C819" s="3"/>
      <c r="D819" s="3"/>
      <c r="E819" s="3"/>
      <c r="F819" s="3"/>
      <c r="G819" s="3"/>
      <c r="H819" s="3"/>
      <c r="I819" s="3"/>
      <c r="J819" s="3"/>
    </row>
    <row r="820" spans="2:10" x14ac:dyDescent="0.25">
      <c r="B820" s="3"/>
      <c r="C820" s="3"/>
      <c r="D820" s="3"/>
      <c r="E820" s="3"/>
      <c r="F820" s="3"/>
      <c r="G820" s="3"/>
      <c r="H820" s="3"/>
      <c r="I820" s="3"/>
      <c r="J820" s="3"/>
    </row>
    <row r="821" spans="2:10" x14ac:dyDescent="0.25">
      <c r="B821" s="3"/>
      <c r="C821" s="3"/>
      <c r="D821" s="3"/>
      <c r="E821" s="3"/>
      <c r="F821" s="3"/>
      <c r="G821" s="3"/>
      <c r="H821" s="3"/>
      <c r="I821" s="3"/>
      <c r="J821" s="3"/>
    </row>
    <row r="822" spans="2:10" x14ac:dyDescent="0.25">
      <c r="B822" s="3"/>
      <c r="C822" s="3"/>
      <c r="D822" s="3"/>
      <c r="E822" s="3"/>
      <c r="F822" s="3"/>
      <c r="G822" s="3"/>
      <c r="H822" s="3"/>
      <c r="I822" s="3"/>
      <c r="J822" s="3"/>
    </row>
    <row r="823" spans="2:10" x14ac:dyDescent="0.25">
      <c r="B823" s="3"/>
      <c r="C823" s="3"/>
      <c r="D823" s="3"/>
      <c r="E823" s="3"/>
      <c r="F823" s="3"/>
      <c r="G823" s="3"/>
      <c r="H823" s="3"/>
      <c r="I823" s="3"/>
      <c r="J823" s="3"/>
    </row>
    <row r="824" spans="2:10" x14ac:dyDescent="0.25">
      <c r="B824" s="3"/>
      <c r="C824" s="3"/>
      <c r="D824" s="3"/>
      <c r="E824" s="3"/>
      <c r="F824" s="3"/>
      <c r="G824" s="3"/>
      <c r="H824" s="3"/>
      <c r="I824" s="3"/>
      <c r="J824" s="3"/>
    </row>
    <row r="825" spans="2:10" x14ac:dyDescent="0.25">
      <c r="B825" s="3"/>
      <c r="C825" s="3"/>
      <c r="D825" s="3"/>
      <c r="E825" s="3"/>
      <c r="F825" s="3"/>
      <c r="G825" s="3"/>
      <c r="H825" s="3"/>
      <c r="I825" s="3"/>
      <c r="J825" s="3"/>
    </row>
    <row r="826" spans="2:10" x14ac:dyDescent="0.25">
      <c r="B826" s="3"/>
      <c r="C826" s="3"/>
      <c r="D826" s="3"/>
      <c r="E826" s="3"/>
      <c r="F826" s="3"/>
      <c r="G826" s="3"/>
      <c r="H826" s="3"/>
      <c r="I826" s="3"/>
      <c r="J826" s="3"/>
    </row>
    <row r="827" spans="2:10" x14ac:dyDescent="0.25">
      <c r="B827" s="3"/>
      <c r="C827" s="3"/>
      <c r="D827" s="3"/>
      <c r="E827" s="3"/>
      <c r="F827" s="3"/>
      <c r="G827" s="3"/>
      <c r="H827" s="3"/>
      <c r="I827" s="3"/>
      <c r="J827" s="3"/>
    </row>
    <row r="828" spans="2:10" x14ac:dyDescent="0.25">
      <c r="B828" s="3"/>
      <c r="C828" s="3"/>
      <c r="D828" s="3"/>
      <c r="E828" s="3"/>
      <c r="F828" s="3"/>
      <c r="G828" s="3"/>
      <c r="H828" s="3"/>
      <c r="I828" s="3"/>
      <c r="J828" s="3"/>
    </row>
    <row r="829" spans="2:10" x14ac:dyDescent="0.25">
      <c r="B829" s="3"/>
      <c r="C829" s="3"/>
      <c r="D829" s="3"/>
      <c r="E829" s="3"/>
      <c r="F829" s="3"/>
      <c r="G829" s="3"/>
      <c r="H829" s="3"/>
      <c r="I829" s="3"/>
      <c r="J829" s="3"/>
    </row>
    <row r="830" spans="2:10" x14ac:dyDescent="0.25">
      <c r="B830" s="3"/>
      <c r="C830" s="3"/>
      <c r="D830" s="3"/>
      <c r="E830" s="3"/>
      <c r="F830" s="3"/>
      <c r="G830" s="3"/>
      <c r="H830" s="3"/>
      <c r="I830" s="3"/>
      <c r="J830" s="3"/>
    </row>
    <row r="831" spans="2:10" x14ac:dyDescent="0.25">
      <c r="B831" s="3"/>
      <c r="C831" s="3"/>
      <c r="D831" s="3"/>
      <c r="E831" s="3"/>
      <c r="F831" s="3"/>
      <c r="G831" s="3"/>
      <c r="H831" s="3"/>
      <c r="I831" s="3"/>
      <c r="J831" s="3"/>
    </row>
    <row r="832" spans="2:10" x14ac:dyDescent="0.25">
      <c r="B832" s="3"/>
      <c r="C832" s="3"/>
      <c r="D832" s="3"/>
      <c r="E832" s="3"/>
      <c r="F832" s="3"/>
      <c r="G832" s="3"/>
      <c r="H832" s="3"/>
      <c r="I832" s="3"/>
      <c r="J832" s="3"/>
    </row>
    <row r="833" spans="2:10" x14ac:dyDescent="0.25">
      <c r="B833" s="3"/>
      <c r="C833" s="3"/>
      <c r="D833" s="3"/>
      <c r="E833" s="3"/>
      <c r="F833" s="3"/>
      <c r="G833" s="3"/>
      <c r="H833" s="3"/>
      <c r="I833" s="3"/>
      <c r="J833" s="3"/>
    </row>
    <row r="834" spans="2:10" x14ac:dyDescent="0.25">
      <c r="B834" s="3"/>
      <c r="C834" s="3"/>
      <c r="D834" s="3"/>
      <c r="E834" s="3"/>
      <c r="F834" s="3"/>
      <c r="G834" s="3"/>
      <c r="H834" s="3"/>
      <c r="I834" s="3"/>
      <c r="J834" s="3"/>
    </row>
    <row r="835" spans="2:10" x14ac:dyDescent="0.25">
      <c r="B835" s="3"/>
      <c r="C835" s="3"/>
      <c r="D835" s="3"/>
      <c r="E835" s="3"/>
      <c r="F835" s="3"/>
      <c r="G835" s="3"/>
      <c r="H835" s="3"/>
      <c r="I835" s="3"/>
      <c r="J835" s="3"/>
    </row>
    <row r="836" spans="2:10" x14ac:dyDescent="0.25">
      <c r="B836" s="3"/>
      <c r="C836" s="3"/>
      <c r="D836" s="3"/>
      <c r="E836" s="3"/>
      <c r="F836" s="3"/>
      <c r="G836" s="3"/>
      <c r="H836" s="3"/>
      <c r="I836" s="3"/>
      <c r="J836" s="3"/>
    </row>
    <row r="837" spans="2:10" x14ac:dyDescent="0.25">
      <c r="B837" s="3"/>
      <c r="C837" s="3"/>
      <c r="D837" s="3"/>
      <c r="E837" s="3"/>
      <c r="F837" s="3"/>
      <c r="G837" s="3"/>
      <c r="H837" s="3"/>
      <c r="I837" s="3"/>
      <c r="J837" s="3"/>
    </row>
    <row r="838" spans="2:10" x14ac:dyDescent="0.25">
      <c r="B838" s="3"/>
      <c r="C838" s="3"/>
      <c r="D838" s="3"/>
      <c r="E838" s="3"/>
      <c r="F838" s="3"/>
      <c r="G838" s="3"/>
      <c r="H838" s="3"/>
      <c r="I838" s="3"/>
      <c r="J838" s="3"/>
    </row>
    <row r="839" spans="2:10" x14ac:dyDescent="0.25">
      <c r="B839" s="3"/>
      <c r="C839" s="3"/>
      <c r="D839" s="3"/>
      <c r="E839" s="3"/>
      <c r="F839" s="3"/>
      <c r="G839" s="3"/>
      <c r="H839" s="3"/>
      <c r="I839" s="3"/>
      <c r="J839" s="3"/>
    </row>
    <row r="840" spans="2:10" x14ac:dyDescent="0.25">
      <c r="B840" s="3"/>
      <c r="C840" s="3"/>
      <c r="D840" s="3"/>
      <c r="E840" s="3"/>
      <c r="F840" s="3"/>
      <c r="G840" s="3"/>
      <c r="H840" s="3"/>
      <c r="I840" s="3"/>
      <c r="J840" s="3"/>
    </row>
    <row r="841" spans="2:10" x14ac:dyDescent="0.25">
      <c r="B841" s="3"/>
      <c r="C841" s="3"/>
      <c r="D841" s="3"/>
      <c r="E841" s="3"/>
      <c r="F841" s="3"/>
      <c r="G841" s="3"/>
      <c r="H841" s="3"/>
      <c r="I841" s="3"/>
      <c r="J841" s="3"/>
    </row>
    <row r="842" spans="2:10" x14ac:dyDescent="0.25">
      <c r="B842" s="3"/>
      <c r="C842" s="3"/>
      <c r="D842" s="3"/>
      <c r="E842" s="3"/>
      <c r="F842" s="3"/>
      <c r="G842" s="3"/>
      <c r="H842" s="3"/>
      <c r="I842" s="3"/>
      <c r="J842" s="3"/>
    </row>
    <row r="843" spans="2:10" x14ac:dyDescent="0.25">
      <c r="B843" s="3"/>
      <c r="C843" s="3"/>
      <c r="D843" s="3"/>
      <c r="E843" s="3"/>
      <c r="F843" s="3"/>
      <c r="G843" s="3"/>
      <c r="H843" s="3"/>
      <c r="I843" s="3"/>
      <c r="J843" s="3"/>
    </row>
    <row r="844" spans="2:10" x14ac:dyDescent="0.25">
      <c r="B844" s="3"/>
      <c r="C844" s="3"/>
      <c r="D844" s="3"/>
      <c r="E844" s="3"/>
      <c r="F844" s="3"/>
      <c r="G844" s="3"/>
      <c r="H844" s="3"/>
      <c r="I844" s="3"/>
      <c r="J844" s="3"/>
    </row>
    <row r="845" spans="2:10" x14ac:dyDescent="0.25">
      <c r="B845" s="3"/>
      <c r="C845" s="3"/>
      <c r="D845" s="3"/>
      <c r="E845" s="3"/>
      <c r="F845" s="3"/>
      <c r="G845" s="3"/>
      <c r="H845" s="3"/>
      <c r="I845" s="3"/>
      <c r="J845" s="3"/>
    </row>
    <row r="846" spans="2:10" x14ac:dyDescent="0.25">
      <c r="B846" s="3"/>
      <c r="C846" s="3"/>
      <c r="D846" s="3"/>
      <c r="E846" s="3"/>
      <c r="F846" s="3"/>
      <c r="G846" s="3"/>
      <c r="H846" s="3"/>
      <c r="I846" s="3"/>
      <c r="J846" s="3"/>
    </row>
    <row r="847" spans="2:10" x14ac:dyDescent="0.25">
      <c r="B847" s="3"/>
      <c r="C847" s="3"/>
      <c r="D847" s="3"/>
      <c r="E847" s="3"/>
      <c r="F847" s="3"/>
      <c r="G847" s="3"/>
      <c r="H847" s="3"/>
      <c r="I847" s="3"/>
      <c r="J847" s="3"/>
    </row>
    <row r="848" spans="2:10" x14ac:dyDescent="0.25">
      <c r="B848" s="3"/>
      <c r="C848" s="3"/>
      <c r="D848" s="3"/>
      <c r="E848" s="3"/>
      <c r="F848" s="3"/>
      <c r="G848" s="3"/>
      <c r="H848" s="3"/>
      <c r="I848" s="3"/>
      <c r="J848" s="3"/>
    </row>
    <row r="849" spans="2:10" x14ac:dyDescent="0.25">
      <c r="B849" s="3"/>
      <c r="C849" s="3"/>
      <c r="D849" s="3"/>
      <c r="E849" s="3"/>
      <c r="F849" s="3"/>
      <c r="G849" s="3"/>
      <c r="H849" s="3"/>
      <c r="I849" s="3"/>
      <c r="J849" s="3"/>
    </row>
    <row r="850" spans="2:10" x14ac:dyDescent="0.25">
      <c r="B850" s="3"/>
      <c r="C850" s="3"/>
      <c r="D850" s="3"/>
      <c r="E850" s="3"/>
      <c r="F850" s="3"/>
      <c r="G850" s="3"/>
      <c r="H850" s="3"/>
      <c r="I850" s="3"/>
      <c r="J850" s="3"/>
    </row>
    <row r="851" spans="2:10" x14ac:dyDescent="0.25">
      <c r="B851" s="3"/>
      <c r="C851" s="3"/>
      <c r="D851" s="3"/>
      <c r="E851" s="3"/>
      <c r="F851" s="3"/>
      <c r="G851" s="3"/>
      <c r="H851" s="3"/>
      <c r="I851" s="3"/>
      <c r="J851" s="3"/>
    </row>
    <row r="852" spans="2:10" x14ac:dyDescent="0.25">
      <c r="B852" s="3"/>
      <c r="C852" s="3"/>
      <c r="D852" s="3"/>
      <c r="E852" s="3"/>
      <c r="F852" s="3"/>
      <c r="G852" s="3"/>
      <c r="H852" s="3"/>
      <c r="I852" s="3"/>
      <c r="J852" s="3"/>
    </row>
    <row r="853" spans="2:10" x14ac:dyDescent="0.25">
      <c r="B853" s="3"/>
      <c r="C853" s="3"/>
      <c r="D853" s="3"/>
      <c r="E853" s="3"/>
      <c r="F853" s="3"/>
      <c r="G853" s="3"/>
      <c r="H853" s="3"/>
      <c r="I853" s="3"/>
      <c r="J853" s="3"/>
    </row>
    <row r="854" spans="2:10" x14ac:dyDescent="0.25">
      <c r="B854" s="3"/>
      <c r="C854" s="3"/>
      <c r="D854" s="3"/>
      <c r="E854" s="3"/>
      <c r="F854" s="3"/>
      <c r="G854" s="3"/>
      <c r="H854" s="3"/>
      <c r="I854" s="3"/>
      <c r="J854" s="3"/>
    </row>
    <row r="855" spans="2:10" x14ac:dyDescent="0.25">
      <c r="B855" s="3"/>
      <c r="C855" s="3"/>
      <c r="D855" s="3"/>
      <c r="E855" s="3"/>
      <c r="F855" s="3"/>
      <c r="G855" s="3"/>
      <c r="H855" s="3"/>
      <c r="I855" s="3"/>
      <c r="J855" s="3"/>
    </row>
    <row r="856" spans="2:10" x14ac:dyDescent="0.25">
      <c r="B856" s="3"/>
      <c r="C856" s="3"/>
      <c r="D856" s="3"/>
      <c r="E856" s="3"/>
      <c r="F856" s="3"/>
      <c r="G856" s="3"/>
      <c r="H856" s="3"/>
      <c r="I856" s="3"/>
      <c r="J856" s="3"/>
    </row>
    <row r="857" spans="2:10" x14ac:dyDescent="0.25">
      <c r="B857" s="3"/>
      <c r="C857" s="3"/>
      <c r="D857" s="3"/>
      <c r="E857" s="3"/>
      <c r="F857" s="3"/>
      <c r="G857" s="3"/>
      <c r="H857" s="3"/>
      <c r="I857" s="3"/>
      <c r="J857" s="3"/>
    </row>
    <row r="858" spans="2:10" x14ac:dyDescent="0.25">
      <c r="B858" s="3"/>
      <c r="C858" s="3"/>
      <c r="D858" s="3"/>
      <c r="E858" s="3"/>
      <c r="F858" s="3"/>
      <c r="G858" s="3"/>
      <c r="H858" s="3"/>
      <c r="I858" s="3"/>
      <c r="J858" s="3"/>
    </row>
    <row r="859" spans="2:10" x14ac:dyDescent="0.25">
      <c r="B859" s="3"/>
      <c r="C859" s="3"/>
      <c r="D859" s="3"/>
      <c r="E859" s="3"/>
      <c r="F859" s="3"/>
      <c r="G859" s="3"/>
      <c r="H859" s="3"/>
      <c r="I859" s="3"/>
      <c r="J859" s="3"/>
    </row>
    <row r="860" spans="2:10" x14ac:dyDescent="0.25">
      <c r="B860" s="3"/>
      <c r="C860" s="3"/>
      <c r="D860" s="3"/>
      <c r="E860" s="3"/>
      <c r="F860" s="3"/>
      <c r="G860" s="3"/>
      <c r="H860" s="3"/>
      <c r="I860" s="3"/>
      <c r="J860" s="3"/>
    </row>
    <row r="861" spans="2:10" x14ac:dyDescent="0.25">
      <c r="B861" s="3"/>
      <c r="C861" s="3"/>
      <c r="D861" s="3"/>
      <c r="E861" s="3"/>
      <c r="F861" s="3"/>
      <c r="G861" s="3"/>
      <c r="H861" s="3"/>
      <c r="I861" s="3"/>
      <c r="J861" s="3"/>
    </row>
    <row r="862" spans="2:10" x14ac:dyDescent="0.25">
      <c r="B862" s="3"/>
      <c r="C862" s="3"/>
      <c r="D862" s="3"/>
      <c r="E862" s="3"/>
      <c r="F862" s="3"/>
      <c r="G862" s="3"/>
      <c r="H862" s="3"/>
      <c r="I862" s="3"/>
      <c r="J862" s="3"/>
    </row>
    <row r="863" spans="2:10" x14ac:dyDescent="0.25">
      <c r="B863" s="3"/>
      <c r="C863" s="3"/>
      <c r="D863" s="3"/>
      <c r="E863" s="3"/>
      <c r="F863" s="3"/>
      <c r="G863" s="3"/>
      <c r="H863" s="3"/>
      <c r="I863" s="3"/>
      <c r="J863" s="3"/>
    </row>
    <row r="864" spans="2:10" x14ac:dyDescent="0.25">
      <c r="B864" s="3"/>
      <c r="C864" s="3"/>
      <c r="D864" s="3"/>
      <c r="E864" s="3"/>
      <c r="F864" s="3"/>
      <c r="G864" s="3"/>
      <c r="H864" s="3"/>
      <c r="I864" s="3"/>
      <c r="J864" s="3"/>
    </row>
    <row r="865" spans="2:10" x14ac:dyDescent="0.25">
      <c r="B865" s="3"/>
      <c r="C865" s="3"/>
      <c r="D865" s="3"/>
      <c r="E865" s="3"/>
      <c r="F865" s="3"/>
      <c r="G865" s="3"/>
      <c r="H865" s="3"/>
      <c r="I865" s="3"/>
      <c r="J865" s="3"/>
    </row>
    <row r="866" spans="2:10" x14ac:dyDescent="0.25">
      <c r="B866" s="3"/>
      <c r="C866" s="3"/>
      <c r="D866" s="3"/>
      <c r="E866" s="3"/>
      <c r="F866" s="3"/>
      <c r="G866" s="3"/>
      <c r="H866" s="3"/>
      <c r="I866" s="3"/>
      <c r="J866" s="3"/>
    </row>
    <row r="867" spans="2:10" x14ac:dyDescent="0.25">
      <c r="B867" s="3"/>
      <c r="C867" s="3"/>
      <c r="D867" s="3"/>
      <c r="E867" s="3"/>
      <c r="F867" s="3"/>
      <c r="G867" s="3"/>
      <c r="H867" s="3"/>
      <c r="I867" s="3"/>
      <c r="J867" s="3"/>
    </row>
    <row r="868" spans="2:10" x14ac:dyDescent="0.25">
      <c r="B868" s="3"/>
      <c r="C868" s="3"/>
      <c r="D868" s="3"/>
      <c r="E868" s="3"/>
      <c r="F868" s="3"/>
      <c r="G868" s="3"/>
      <c r="H868" s="3"/>
      <c r="I868" s="3"/>
      <c r="J868" s="3"/>
    </row>
    <row r="869" spans="2:10" x14ac:dyDescent="0.25">
      <c r="B869" s="3"/>
      <c r="C869" s="3"/>
      <c r="D869" s="3"/>
      <c r="E869" s="3"/>
      <c r="F869" s="3"/>
      <c r="G869" s="3"/>
      <c r="H869" s="3"/>
      <c r="I869" s="3"/>
      <c r="J869" s="3"/>
    </row>
    <row r="870" spans="2:10" x14ac:dyDescent="0.25">
      <c r="B870" s="3"/>
      <c r="C870" s="3"/>
      <c r="D870" s="3"/>
      <c r="E870" s="3"/>
      <c r="F870" s="3"/>
      <c r="G870" s="3"/>
      <c r="H870" s="3"/>
      <c r="I870" s="3"/>
      <c r="J870" s="3"/>
    </row>
    <row r="871" spans="2:10" x14ac:dyDescent="0.25">
      <c r="B871" s="3"/>
      <c r="C871" s="3"/>
      <c r="D871" s="3"/>
      <c r="E871" s="3"/>
      <c r="F871" s="3"/>
      <c r="G871" s="3"/>
      <c r="H871" s="3"/>
      <c r="I871" s="3"/>
      <c r="J871" s="3"/>
    </row>
    <row r="872" spans="2:10" x14ac:dyDescent="0.25">
      <c r="B872" s="3"/>
      <c r="C872" s="3"/>
      <c r="D872" s="3"/>
      <c r="E872" s="3"/>
      <c r="F872" s="3"/>
      <c r="G872" s="3"/>
      <c r="H872" s="3"/>
      <c r="I872" s="3"/>
      <c r="J872" s="3"/>
    </row>
    <row r="873" spans="2:10" x14ac:dyDescent="0.25">
      <c r="B873" s="3"/>
      <c r="C873" s="3"/>
      <c r="D873" s="3"/>
      <c r="E873" s="3"/>
      <c r="F873" s="3"/>
      <c r="G873" s="3"/>
      <c r="H873" s="3"/>
      <c r="I873" s="3"/>
      <c r="J873" s="3"/>
    </row>
    <row r="874" spans="2:10" x14ac:dyDescent="0.25">
      <c r="B874" s="3"/>
      <c r="C874" s="3"/>
      <c r="D874" s="3"/>
      <c r="E874" s="3"/>
      <c r="F874" s="3"/>
      <c r="G874" s="3"/>
      <c r="H874" s="3"/>
      <c r="I874" s="3"/>
      <c r="J874" s="3"/>
    </row>
    <row r="875" spans="2:10" x14ac:dyDescent="0.25">
      <c r="B875" s="3"/>
      <c r="C875" s="3"/>
      <c r="D875" s="3"/>
      <c r="E875" s="3"/>
      <c r="F875" s="3"/>
      <c r="G875" s="3"/>
      <c r="H875" s="3"/>
      <c r="I875" s="3"/>
      <c r="J875" s="3"/>
    </row>
    <row r="876" spans="2:10" x14ac:dyDescent="0.25">
      <c r="B876" s="3"/>
      <c r="C876" s="3"/>
      <c r="D876" s="3"/>
      <c r="E876" s="3"/>
      <c r="F876" s="3"/>
      <c r="G876" s="3"/>
      <c r="H876" s="3"/>
      <c r="I876" s="3"/>
      <c r="J876" s="3"/>
    </row>
    <row r="877" spans="2:10" x14ac:dyDescent="0.25">
      <c r="B877" s="3"/>
      <c r="C877" s="3"/>
      <c r="D877" s="3"/>
      <c r="E877" s="3"/>
      <c r="F877" s="3"/>
      <c r="G877" s="3"/>
      <c r="H877" s="3"/>
      <c r="I877" s="3"/>
      <c r="J877" s="3"/>
    </row>
    <row r="878" spans="2:10" x14ac:dyDescent="0.25">
      <c r="B878" s="3"/>
      <c r="C878" s="3"/>
      <c r="D878" s="3"/>
      <c r="E878" s="3"/>
      <c r="F878" s="3"/>
      <c r="G878" s="3"/>
      <c r="H878" s="3"/>
      <c r="I878" s="3"/>
      <c r="J878" s="3"/>
    </row>
    <row r="879" spans="2:10" x14ac:dyDescent="0.25">
      <c r="B879" s="3"/>
      <c r="C879" s="3"/>
      <c r="D879" s="3"/>
      <c r="E879" s="3"/>
      <c r="F879" s="3"/>
      <c r="G879" s="3"/>
      <c r="H879" s="3"/>
      <c r="I879" s="3"/>
      <c r="J879" s="3"/>
    </row>
    <row r="880" spans="2:10" x14ac:dyDescent="0.25">
      <c r="B880" s="3"/>
      <c r="C880" s="3"/>
      <c r="D880" s="3"/>
      <c r="E880" s="3"/>
      <c r="F880" s="3"/>
      <c r="G880" s="3"/>
      <c r="H880" s="3"/>
      <c r="I880" s="3"/>
      <c r="J880" s="3"/>
    </row>
    <row r="881" spans="2:10" x14ac:dyDescent="0.25">
      <c r="B881" s="3"/>
      <c r="C881" s="3"/>
      <c r="D881" s="3"/>
      <c r="E881" s="3"/>
      <c r="F881" s="3"/>
      <c r="G881" s="3"/>
      <c r="H881" s="3"/>
      <c r="I881" s="3"/>
      <c r="J881" s="3"/>
    </row>
    <row r="882" spans="2:10" x14ac:dyDescent="0.25">
      <c r="B882" s="3"/>
      <c r="C882" s="3"/>
      <c r="D882" s="3"/>
      <c r="E882" s="3"/>
      <c r="F882" s="3"/>
      <c r="G882" s="3"/>
      <c r="H882" s="3"/>
      <c r="I882" s="3"/>
      <c r="J882" s="3"/>
    </row>
    <row r="883" spans="2:10" x14ac:dyDescent="0.25">
      <c r="B883" s="3"/>
      <c r="C883" s="3"/>
      <c r="D883" s="3"/>
      <c r="E883" s="3"/>
      <c r="F883" s="3"/>
      <c r="G883" s="3"/>
      <c r="H883" s="3"/>
      <c r="I883" s="3"/>
      <c r="J883" s="3"/>
    </row>
    <row r="884" spans="2:10" x14ac:dyDescent="0.25">
      <c r="B884" s="3"/>
      <c r="C884" s="3"/>
      <c r="D884" s="3"/>
      <c r="E884" s="3"/>
      <c r="F884" s="3"/>
      <c r="G884" s="3"/>
      <c r="H884" s="3"/>
      <c r="I884" s="3"/>
      <c r="J884" s="3"/>
    </row>
    <row r="885" spans="2:10" x14ac:dyDescent="0.25">
      <c r="B885" s="3"/>
      <c r="C885" s="3"/>
      <c r="D885" s="3"/>
      <c r="E885" s="3"/>
      <c r="F885" s="3"/>
      <c r="G885" s="3"/>
      <c r="H885" s="3"/>
      <c r="I885" s="3"/>
      <c r="J885" s="3"/>
    </row>
    <row r="886" spans="2:10" x14ac:dyDescent="0.25">
      <c r="B886" s="3"/>
      <c r="C886" s="3"/>
      <c r="D886" s="3"/>
      <c r="E886" s="3"/>
      <c r="F886" s="3"/>
      <c r="G886" s="3"/>
      <c r="H886" s="3"/>
      <c r="I886" s="3"/>
      <c r="J886" s="3"/>
    </row>
    <row r="887" spans="2:10" x14ac:dyDescent="0.25">
      <c r="B887" s="3"/>
      <c r="C887" s="3"/>
      <c r="D887" s="3"/>
      <c r="E887" s="3"/>
      <c r="F887" s="3"/>
      <c r="G887" s="3"/>
      <c r="H887" s="3"/>
      <c r="I887" s="3"/>
      <c r="J887" s="3"/>
    </row>
    <row r="888" spans="2:10" x14ac:dyDescent="0.25">
      <c r="B888" s="3"/>
      <c r="C888" s="3"/>
      <c r="D888" s="3"/>
      <c r="E888" s="3"/>
      <c r="F888" s="3"/>
      <c r="G888" s="3"/>
      <c r="H888" s="3"/>
      <c r="I888" s="3"/>
      <c r="J888" s="3"/>
    </row>
    <row r="889" spans="2:10" x14ac:dyDescent="0.25">
      <c r="B889" s="3"/>
      <c r="C889" s="3"/>
      <c r="D889" s="3"/>
      <c r="E889" s="3"/>
      <c r="F889" s="3"/>
      <c r="G889" s="3"/>
      <c r="H889" s="3"/>
      <c r="I889" s="3"/>
      <c r="J889" s="3"/>
    </row>
    <row r="890" spans="2:10" x14ac:dyDescent="0.25">
      <c r="B890" s="3"/>
      <c r="C890" s="3"/>
      <c r="D890" s="3"/>
      <c r="E890" s="3"/>
      <c r="F890" s="3"/>
      <c r="G890" s="3"/>
      <c r="H890" s="3"/>
      <c r="I890" s="3"/>
      <c r="J890" s="3"/>
    </row>
    <row r="891" spans="2:10" x14ac:dyDescent="0.25">
      <c r="B891" s="3"/>
      <c r="C891" s="3"/>
      <c r="D891" s="3"/>
      <c r="E891" s="3"/>
      <c r="F891" s="3"/>
      <c r="G891" s="3"/>
      <c r="H891" s="3"/>
      <c r="I891" s="3"/>
      <c r="J891" s="3"/>
    </row>
    <row r="892" spans="2:10" x14ac:dyDescent="0.25">
      <c r="B892" s="3"/>
      <c r="C892" s="3"/>
      <c r="D892" s="3"/>
      <c r="E892" s="3"/>
      <c r="F892" s="3"/>
      <c r="G892" s="3"/>
      <c r="H892" s="3"/>
      <c r="I892" s="3"/>
      <c r="J892" s="3"/>
    </row>
    <row r="893" spans="2:10" x14ac:dyDescent="0.25">
      <c r="B893" s="3"/>
      <c r="C893" s="3"/>
      <c r="D893" s="3"/>
      <c r="E893" s="3"/>
      <c r="F893" s="3"/>
      <c r="G893" s="3"/>
      <c r="H893" s="3"/>
      <c r="I893" s="3"/>
      <c r="J893" s="3"/>
    </row>
    <row r="894" spans="2:10" x14ac:dyDescent="0.25">
      <c r="B894" s="3"/>
      <c r="C894" s="3"/>
      <c r="D894" s="3"/>
      <c r="E894" s="3"/>
      <c r="F894" s="3"/>
      <c r="G894" s="3"/>
      <c r="H894" s="3"/>
      <c r="I894" s="3"/>
      <c r="J894" s="3"/>
    </row>
    <row r="895" spans="2:10" x14ac:dyDescent="0.25">
      <c r="B895" s="3"/>
      <c r="C895" s="3"/>
      <c r="D895" s="3"/>
      <c r="E895" s="3"/>
      <c r="F895" s="3"/>
      <c r="G895" s="3"/>
      <c r="H895" s="3"/>
      <c r="I895" s="3"/>
      <c r="J895" s="3"/>
    </row>
    <row r="896" spans="2:10" x14ac:dyDescent="0.25">
      <c r="B896" s="3"/>
      <c r="C896" s="3"/>
      <c r="D896" s="3"/>
      <c r="E896" s="3"/>
      <c r="F896" s="3"/>
      <c r="G896" s="3"/>
      <c r="H896" s="3"/>
      <c r="I896" s="3"/>
      <c r="J896" s="3"/>
    </row>
    <row r="897" spans="2:10" x14ac:dyDescent="0.25">
      <c r="B897" s="3"/>
      <c r="C897" s="3"/>
      <c r="D897" s="3"/>
      <c r="E897" s="3"/>
      <c r="F897" s="3"/>
      <c r="G897" s="3"/>
      <c r="H897" s="3"/>
      <c r="I897" s="3"/>
      <c r="J897" s="3"/>
    </row>
    <row r="898" spans="2:10" x14ac:dyDescent="0.25">
      <c r="B898" s="3"/>
      <c r="C898" s="3"/>
      <c r="D898" s="3"/>
      <c r="E898" s="3"/>
      <c r="F898" s="3"/>
      <c r="G898" s="3"/>
      <c r="H898" s="3"/>
      <c r="I898" s="3"/>
      <c r="J898" s="3"/>
    </row>
    <row r="899" spans="2:10" x14ac:dyDescent="0.25">
      <c r="B899" s="3"/>
      <c r="C899" s="3"/>
      <c r="D899" s="3"/>
      <c r="E899" s="3"/>
      <c r="F899" s="3"/>
      <c r="G899" s="3"/>
      <c r="H899" s="3"/>
      <c r="I899" s="3"/>
      <c r="J899" s="3"/>
    </row>
    <row r="900" spans="2:10" x14ac:dyDescent="0.25">
      <c r="B900" s="3"/>
      <c r="C900" s="3"/>
      <c r="D900" s="3"/>
      <c r="E900" s="3"/>
      <c r="F900" s="3"/>
      <c r="G900" s="3"/>
      <c r="H900" s="3"/>
      <c r="I900" s="3"/>
      <c r="J900" s="3"/>
    </row>
    <row r="901" spans="2:10" x14ac:dyDescent="0.25">
      <c r="B901" s="3"/>
      <c r="C901" s="3"/>
      <c r="D901" s="3"/>
      <c r="E901" s="3"/>
      <c r="F901" s="3"/>
      <c r="G901" s="3"/>
      <c r="H901" s="3"/>
      <c r="I901" s="3"/>
      <c r="J901" s="3"/>
    </row>
    <row r="902" spans="2:10" x14ac:dyDescent="0.25">
      <c r="B902" s="3"/>
      <c r="C902" s="3"/>
      <c r="D902" s="3"/>
      <c r="E902" s="3"/>
      <c r="F902" s="3"/>
      <c r="G902" s="3"/>
      <c r="H902" s="3"/>
      <c r="I902" s="3"/>
      <c r="J902" s="3"/>
    </row>
    <row r="903" spans="2:10" x14ac:dyDescent="0.25">
      <c r="B903" s="3"/>
      <c r="C903" s="3"/>
      <c r="D903" s="3"/>
      <c r="E903" s="3"/>
      <c r="F903" s="3"/>
      <c r="G903" s="3"/>
      <c r="H903" s="3"/>
      <c r="I903" s="3"/>
      <c r="J903" s="3"/>
    </row>
    <row r="904" spans="2:10" x14ac:dyDescent="0.25">
      <c r="B904" s="3"/>
      <c r="C904" s="3"/>
      <c r="D904" s="3"/>
      <c r="E904" s="3"/>
      <c r="F904" s="3"/>
      <c r="G904" s="3"/>
      <c r="H904" s="3"/>
      <c r="I904" s="3"/>
      <c r="J904" s="3"/>
    </row>
    <row r="905" spans="2:10" x14ac:dyDescent="0.25">
      <c r="B905" s="3"/>
      <c r="C905" s="3"/>
      <c r="D905" s="3"/>
      <c r="E905" s="3"/>
      <c r="F905" s="3"/>
      <c r="G905" s="3"/>
      <c r="H905" s="3"/>
      <c r="I905" s="3"/>
      <c r="J905" s="3"/>
    </row>
    <row r="906" spans="2:10" x14ac:dyDescent="0.25">
      <c r="B906" s="3"/>
      <c r="C906" s="3"/>
      <c r="D906" s="3"/>
      <c r="E906" s="3"/>
      <c r="F906" s="3"/>
      <c r="G906" s="3"/>
      <c r="H906" s="3"/>
      <c r="I906" s="3"/>
      <c r="J906" s="3"/>
    </row>
    <row r="907" spans="2:10" x14ac:dyDescent="0.25">
      <c r="B907" s="3"/>
      <c r="C907" s="3"/>
      <c r="D907" s="3"/>
      <c r="E907" s="3"/>
      <c r="F907" s="3"/>
      <c r="G907" s="3"/>
      <c r="H907" s="3"/>
      <c r="I907" s="3"/>
      <c r="J907" s="3"/>
    </row>
    <row r="908" spans="2:10" x14ac:dyDescent="0.25">
      <c r="B908" s="3"/>
      <c r="C908" s="3"/>
      <c r="D908" s="3"/>
      <c r="E908" s="3"/>
      <c r="F908" s="3"/>
      <c r="G908" s="3"/>
      <c r="H908" s="3"/>
      <c r="I908" s="3"/>
      <c r="J908" s="3"/>
    </row>
    <row r="909" spans="2:10" x14ac:dyDescent="0.25">
      <c r="B909" s="3"/>
      <c r="C909" s="3"/>
      <c r="D909" s="3"/>
      <c r="E909" s="3"/>
      <c r="F909" s="3"/>
      <c r="G909" s="3"/>
      <c r="H909" s="3"/>
      <c r="I909" s="3"/>
      <c r="J909" s="3"/>
    </row>
    <row r="910" spans="2:10" x14ac:dyDescent="0.25">
      <c r="B910" s="3"/>
      <c r="C910" s="3"/>
      <c r="D910" s="3"/>
      <c r="E910" s="3"/>
      <c r="F910" s="3"/>
      <c r="G910" s="3"/>
      <c r="H910" s="3"/>
      <c r="I910" s="3"/>
      <c r="J910" s="3"/>
    </row>
    <row r="911" spans="2:10" x14ac:dyDescent="0.25">
      <c r="B911" s="3"/>
      <c r="C911" s="3"/>
      <c r="D911" s="3"/>
      <c r="E911" s="3"/>
      <c r="F911" s="3"/>
      <c r="G911" s="3"/>
      <c r="H911" s="3"/>
      <c r="I911" s="3"/>
      <c r="J911" s="3"/>
    </row>
    <row r="912" spans="2:10" x14ac:dyDescent="0.25">
      <c r="B912" s="3"/>
      <c r="C912" s="3"/>
      <c r="D912" s="3"/>
      <c r="E912" s="3"/>
      <c r="F912" s="3"/>
      <c r="G912" s="3"/>
      <c r="H912" s="3"/>
      <c r="I912" s="3"/>
      <c r="J912" s="3"/>
    </row>
    <row r="913" spans="2:10" x14ac:dyDescent="0.25">
      <c r="B913" s="3"/>
      <c r="C913" s="3"/>
      <c r="D913" s="3"/>
      <c r="E913" s="3"/>
      <c r="F913" s="3"/>
      <c r="G913" s="3"/>
      <c r="H913" s="3"/>
      <c r="I913" s="3"/>
      <c r="J913" s="3"/>
    </row>
    <row r="914" spans="2:10" x14ac:dyDescent="0.25">
      <c r="B914" s="3"/>
      <c r="C914" s="3"/>
      <c r="D914" s="3"/>
      <c r="E914" s="3"/>
      <c r="F914" s="3"/>
      <c r="G914" s="3"/>
      <c r="H914" s="3"/>
      <c r="I914" s="3"/>
      <c r="J914" s="3"/>
    </row>
    <row r="915" spans="2:10" x14ac:dyDescent="0.25">
      <c r="B915" s="3"/>
      <c r="C915" s="3"/>
      <c r="D915" s="3"/>
      <c r="E915" s="3"/>
      <c r="F915" s="3"/>
      <c r="G915" s="3"/>
      <c r="H915" s="3"/>
      <c r="I915" s="3"/>
      <c r="J915" s="3"/>
    </row>
    <row r="916" spans="2:10" x14ac:dyDescent="0.25">
      <c r="B916" s="3"/>
      <c r="C916" s="3"/>
      <c r="D916" s="3"/>
      <c r="E916" s="3"/>
      <c r="F916" s="3"/>
      <c r="G916" s="3"/>
      <c r="H916" s="3"/>
      <c r="I916" s="3"/>
      <c r="J916" s="3"/>
    </row>
    <row r="917" spans="2:10" x14ac:dyDescent="0.25">
      <c r="B917" s="3"/>
      <c r="C917" s="3"/>
      <c r="D917" s="3"/>
      <c r="E917" s="3"/>
      <c r="F917" s="3"/>
      <c r="G917" s="3"/>
      <c r="H917" s="3"/>
      <c r="I917" s="3"/>
      <c r="J917" s="3"/>
    </row>
    <row r="918" spans="2:10" x14ac:dyDescent="0.25">
      <c r="B918" s="3"/>
      <c r="C918" s="3"/>
      <c r="D918" s="3"/>
      <c r="E918" s="3"/>
      <c r="F918" s="3"/>
      <c r="G918" s="3"/>
      <c r="H918" s="3"/>
      <c r="I918" s="3"/>
      <c r="J918" s="3"/>
    </row>
    <row r="919" spans="2:10" x14ac:dyDescent="0.25">
      <c r="B919" s="3"/>
      <c r="C919" s="3"/>
      <c r="D919" s="3"/>
      <c r="E919" s="3"/>
      <c r="F919" s="3"/>
      <c r="G919" s="3"/>
      <c r="H919" s="3"/>
      <c r="I919" s="3"/>
      <c r="J919" s="3"/>
    </row>
    <row r="920" spans="2:10" x14ac:dyDescent="0.25">
      <c r="B920" s="3"/>
      <c r="C920" s="3"/>
      <c r="D920" s="3"/>
      <c r="E920" s="3"/>
      <c r="F920" s="3"/>
      <c r="G920" s="3"/>
      <c r="H920" s="3"/>
      <c r="I920" s="3"/>
      <c r="J920" s="3"/>
    </row>
    <row r="921" spans="2:10" x14ac:dyDescent="0.25">
      <c r="B921" s="3"/>
      <c r="C921" s="3"/>
      <c r="D921" s="3"/>
      <c r="E921" s="3"/>
      <c r="F921" s="3"/>
      <c r="G921" s="3"/>
      <c r="H921" s="3"/>
      <c r="I921" s="3"/>
      <c r="J921" s="3"/>
    </row>
    <row r="922" spans="2:10" x14ac:dyDescent="0.25">
      <c r="B922" s="3"/>
      <c r="C922" s="3"/>
      <c r="D922" s="3"/>
      <c r="E922" s="3"/>
      <c r="F922" s="3"/>
      <c r="G922" s="3"/>
      <c r="H922" s="3"/>
      <c r="I922" s="3"/>
      <c r="J922" s="3"/>
    </row>
    <row r="923" spans="2:10" x14ac:dyDescent="0.25">
      <c r="B923" s="3"/>
      <c r="C923" s="3"/>
      <c r="D923" s="3"/>
      <c r="E923" s="3"/>
      <c r="F923" s="3"/>
      <c r="G923" s="3"/>
      <c r="H923" s="3"/>
      <c r="I923" s="3"/>
      <c r="J923" s="3"/>
    </row>
    <row r="924" spans="2:10" x14ac:dyDescent="0.25">
      <c r="B924" s="3"/>
      <c r="C924" s="3"/>
      <c r="D924" s="3"/>
      <c r="E924" s="3"/>
      <c r="F924" s="3"/>
      <c r="G924" s="3"/>
      <c r="H924" s="3"/>
      <c r="I924" s="3"/>
      <c r="J924" s="3"/>
    </row>
    <row r="925" spans="2:10" x14ac:dyDescent="0.25">
      <c r="B925" s="3"/>
      <c r="C925" s="3"/>
      <c r="D925" s="3"/>
      <c r="E925" s="3"/>
      <c r="F925" s="3"/>
      <c r="G925" s="3"/>
      <c r="H925" s="3"/>
      <c r="I925" s="3"/>
      <c r="J925" s="3"/>
    </row>
    <row r="926" spans="2:10" x14ac:dyDescent="0.25">
      <c r="B926" s="3"/>
      <c r="C926" s="3"/>
      <c r="D926" s="3"/>
      <c r="E926" s="3"/>
      <c r="F926" s="3"/>
      <c r="G926" s="3"/>
      <c r="H926" s="3"/>
      <c r="I926" s="3"/>
      <c r="J926" s="3"/>
    </row>
    <row r="927" spans="2:10" x14ac:dyDescent="0.25">
      <c r="B927" s="3"/>
      <c r="C927" s="3"/>
      <c r="D927" s="3"/>
      <c r="E927" s="3"/>
      <c r="F927" s="3"/>
      <c r="G927" s="3"/>
      <c r="H927" s="3"/>
      <c r="I927" s="3"/>
      <c r="J927" s="3"/>
    </row>
    <row r="928" spans="2:10" x14ac:dyDescent="0.25">
      <c r="B928" s="3"/>
      <c r="C928" s="3"/>
      <c r="D928" s="3"/>
      <c r="E928" s="3"/>
      <c r="F928" s="3"/>
      <c r="G928" s="3"/>
      <c r="H928" s="3"/>
      <c r="I928" s="3"/>
      <c r="J928" s="3"/>
    </row>
    <row r="929" spans="2:10" x14ac:dyDescent="0.25">
      <c r="B929" s="3"/>
      <c r="C929" s="3"/>
      <c r="D929" s="3"/>
      <c r="E929" s="3"/>
      <c r="F929" s="3"/>
      <c r="G929" s="3"/>
      <c r="H929" s="3"/>
      <c r="I929" s="3"/>
      <c r="J929" s="3"/>
    </row>
    <row r="930" spans="2:10" x14ac:dyDescent="0.25">
      <c r="B930" s="3"/>
      <c r="C930" s="3"/>
      <c r="D930" s="3"/>
      <c r="E930" s="3"/>
      <c r="F930" s="3"/>
      <c r="G930" s="3"/>
      <c r="H930" s="3"/>
      <c r="I930" s="3"/>
      <c r="J930" s="3"/>
    </row>
    <row r="931" spans="2:10" x14ac:dyDescent="0.25">
      <c r="B931" s="3"/>
      <c r="C931" s="3"/>
      <c r="D931" s="3"/>
      <c r="E931" s="3"/>
      <c r="F931" s="3"/>
      <c r="G931" s="3"/>
      <c r="H931" s="3"/>
      <c r="I931" s="3"/>
      <c r="J931" s="3"/>
    </row>
    <row r="932" spans="2:10" x14ac:dyDescent="0.25">
      <c r="B932" s="3"/>
      <c r="C932" s="3"/>
      <c r="D932" s="3"/>
      <c r="E932" s="3"/>
      <c r="F932" s="3"/>
      <c r="G932" s="3"/>
      <c r="H932" s="3"/>
      <c r="I932" s="3"/>
      <c r="J932" s="3"/>
    </row>
    <row r="933" spans="2:10" x14ac:dyDescent="0.25">
      <c r="B933" s="3"/>
      <c r="C933" s="3"/>
      <c r="D933" s="3"/>
      <c r="E933" s="3"/>
      <c r="F933" s="3"/>
      <c r="G933" s="3"/>
      <c r="H933" s="3"/>
      <c r="I933" s="3"/>
      <c r="J933" s="3"/>
    </row>
    <row r="934" spans="2:10" x14ac:dyDescent="0.25">
      <c r="B934" s="3"/>
      <c r="C934" s="3"/>
      <c r="D934" s="3"/>
      <c r="E934" s="3"/>
      <c r="F934" s="3"/>
      <c r="G934" s="3"/>
      <c r="H934" s="3"/>
      <c r="I934" s="3"/>
      <c r="J934" s="3"/>
    </row>
    <row r="935" spans="2:10" x14ac:dyDescent="0.25">
      <c r="B935" s="3"/>
      <c r="C935" s="3"/>
      <c r="D935" s="3"/>
      <c r="E935" s="3"/>
      <c r="F935" s="3"/>
      <c r="G935" s="3"/>
      <c r="H935" s="3"/>
      <c r="I935" s="3"/>
      <c r="J935" s="3"/>
    </row>
    <row r="936" spans="2:10" x14ac:dyDescent="0.25">
      <c r="B936" s="3"/>
      <c r="C936" s="3"/>
      <c r="D936" s="3"/>
      <c r="E936" s="3"/>
      <c r="F936" s="3"/>
      <c r="G936" s="3"/>
      <c r="H936" s="3"/>
      <c r="I936" s="3"/>
      <c r="J936" s="3"/>
    </row>
    <row r="937" spans="2:10" x14ac:dyDescent="0.25">
      <c r="B937" s="3"/>
      <c r="C937" s="3"/>
      <c r="D937" s="3"/>
      <c r="E937" s="3"/>
      <c r="F937" s="3"/>
      <c r="G937" s="3"/>
      <c r="H937" s="3"/>
      <c r="I937" s="3"/>
      <c r="J937" s="3"/>
    </row>
    <row r="938" spans="2:10" x14ac:dyDescent="0.25">
      <c r="B938" s="3"/>
      <c r="C938" s="3"/>
      <c r="D938" s="3"/>
      <c r="E938" s="3"/>
      <c r="F938" s="3"/>
      <c r="G938" s="3"/>
      <c r="H938" s="3"/>
      <c r="I938" s="3"/>
      <c r="J938" s="3"/>
    </row>
    <row r="939" spans="2:10" x14ac:dyDescent="0.25">
      <c r="B939" s="3"/>
      <c r="C939" s="3"/>
      <c r="D939" s="3"/>
      <c r="E939" s="3"/>
      <c r="F939" s="3"/>
      <c r="G939" s="3"/>
      <c r="H939" s="3"/>
      <c r="I939" s="3"/>
      <c r="J939" s="3"/>
    </row>
    <row r="940" spans="2:10" x14ac:dyDescent="0.25">
      <c r="B940" s="3"/>
      <c r="C940" s="3"/>
      <c r="D940" s="3"/>
      <c r="E940" s="3"/>
      <c r="F940" s="3"/>
      <c r="G940" s="3"/>
      <c r="H940" s="3"/>
      <c r="I940" s="3"/>
      <c r="J940" s="3"/>
    </row>
    <row r="941" spans="2:10" x14ac:dyDescent="0.25">
      <c r="B941" s="3"/>
      <c r="C941" s="3"/>
      <c r="D941" s="3"/>
      <c r="E941" s="3"/>
      <c r="F941" s="3"/>
      <c r="G941" s="3"/>
      <c r="H941" s="3"/>
      <c r="I941" s="3"/>
      <c r="J941" s="3"/>
    </row>
    <row r="942" spans="2:10" x14ac:dyDescent="0.25">
      <c r="B942" s="3"/>
      <c r="C942" s="3"/>
      <c r="D942" s="3"/>
      <c r="E942" s="3"/>
      <c r="F942" s="3"/>
      <c r="G942" s="3"/>
      <c r="H942" s="3"/>
      <c r="I942" s="3"/>
      <c r="J942" s="3"/>
    </row>
    <row r="943" spans="2:10" x14ac:dyDescent="0.25">
      <c r="B943" s="3"/>
      <c r="C943" s="3"/>
      <c r="D943" s="3"/>
      <c r="E943" s="3"/>
      <c r="F943" s="3"/>
      <c r="G943" s="3"/>
      <c r="H943" s="3"/>
      <c r="I943" s="3"/>
      <c r="J943" s="3"/>
    </row>
    <row r="944" spans="2:10" x14ac:dyDescent="0.25">
      <c r="B944" s="3"/>
      <c r="C944" s="3"/>
      <c r="D944" s="3"/>
      <c r="E944" s="3"/>
      <c r="F944" s="3"/>
      <c r="G944" s="3"/>
      <c r="H944" s="3"/>
      <c r="I944" s="3"/>
      <c r="J944" s="3"/>
    </row>
    <row r="945" spans="2:10" x14ac:dyDescent="0.25">
      <c r="B945" s="3"/>
      <c r="C945" s="3"/>
      <c r="D945" s="3"/>
      <c r="E945" s="3"/>
      <c r="F945" s="3"/>
      <c r="G945" s="3"/>
      <c r="H945" s="3"/>
      <c r="I945" s="3"/>
      <c r="J945" s="3"/>
    </row>
    <row r="946" spans="2:10" x14ac:dyDescent="0.25">
      <c r="B946" s="3"/>
      <c r="C946" s="3"/>
      <c r="D946" s="3"/>
      <c r="E946" s="3"/>
      <c r="F946" s="3"/>
      <c r="G946" s="3"/>
      <c r="H946" s="3"/>
      <c r="I946" s="3"/>
      <c r="J946" s="3"/>
    </row>
    <row r="947" spans="2:10" x14ac:dyDescent="0.25">
      <c r="B947" s="3"/>
      <c r="C947" s="3"/>
      <c r="D947" s="3"/>
      <c r="E947" s="3"/>
      <c r="F947" s="3"/>
      <c r="G947" s="3"/>
      <c r="H947" s="3"/>
      <c r="I947" s="3"/>
      <c r="J947" s="3"/>
    </row>
    <row r="948" spans="2:10" x14ac:dyDescent="0.25">
      <c r="B948" s="3"/>
      <c r="C948" s="3"/>
      <c r="D948" s="3"/>
      <c r="E948" s="3"/>
      <c r="F948" s="3"/>
      <c r="G948" s="3"/>
      <c r="H948" s="3"/>
      <c r="I948" s="3"/>
      <c r="J948" s="3"/>
    </row>
    <row r="949" spans="2:10" x14ac:dyDescent="0.25">
      <c r="B949" s="3"/>
      <c r="C949" s="3"/>
      <c r="D949" s="3"/>
      <c r="E949" s="3"/>
      <c r="F949" s="3"/>
      <c r="G949" s="3"/>
      <c r="H949" s="3"/>
      <c r="I949" s="3"/>
      <c r="J949" s="3"/>
    </row>
    <row r="950" spans="2:10" x14ac:dyDescent="0.25">
      <c r="B950" s="3"/>
      <c r="C950" s="3"/>
      <c r="D950" s="3"/>
      <c r="E950" s="3"/>
      <c r="F950" s="3"/>
      <c r="G950" s="3"/>
      <c r="H950" s="3"/>
      <c r="I950" s="3"/>
      <c r="J950" s="3"/>
    </row>
    <row r="951" spans="2:10" x14ac:dyDescent="0.25">
      <c r="B951" s="3"/>
      <c r="C951" s="3"/>
      <c r="D951" s="3"/>
      <c r="E951" s="3"/>
      <c r="F951" s="3"/>
      <c r="G951" s="3"/>
      <c r="H951" s="3"/>
      <c r="I951" s="3"/>
      <c r="J951" s="3"/>
    </row>
    <row r="952" spans="2:10" x14ac:dyDescent="0.25">
      <c r="B952" s="3"/>
      <c r="C952" s="3"/>
      <c r="D952" s="3"/>
      <c r="E952" s="3"/>
      <c r="F952" s="3"/>
      <c r="G952" s="3"/>
      <c r="H952" s="3"/>
      <c r="I952" s="3"/>
      <c r="J952" s="3"/>
    </row>
    <row r="953" spans="2:10" x14ac:dyDescent="0.25">
      <c r="B953" s="3"/>
      <c r="C953" s="3"/>
      <c r="D953" s="3"/>
      <c r="E953" s="3"/>
      <c r="F953" s="3"/>
      <c r="G953" s="3"/>
      <c r="H953" s="3"/>
      <c r="I953" s="3"/>
      <c r="J953" s="3"/>
    </row>
    <row r="954" spans="2:10" x14ac:dyDescent="0.25">
      <c r="B954" s="3"/>
      <c r="C954" s="3"/>
      <c r="D954" s="3"/>
      <c r="E954" s="3"/>
      <c r="F954" s="3"/>
      <c r="G954" s="3"/>
      <c r="H954" s="3"/>
      <c r="I954" s="3"/>
      <c r="J954" s="3"/>
    </row>
    <row r="955" spans="2:10" x14ac:dyDescent="0.25">
      <c r="B955" s="3"/>
      <c r="C955" s="3"/>
      <c r="D955" s="3"/>
      <c r="E955" s="3"/>
      <c r="F955" s="3"/>
      <c r="G955" s="3"/>
      <c r="H955" s="3"/>
      <c r="I955" s="3"/>
      <c r="J955" s="3"/>
    </row>
    <row r="956" spans="2:10" x14ac:dyDescent="0.25">
      <c r="B956" s="3"/>
      <c r="C956" s="3"/>
      <c r="D956" s="3"/>
      <c r="E956" s="3"/>
      <c r="F956" s="3"/>
      <c r="G956" s="3"/>
      <c r="H956" s="3"/>
      <c r="I956" s="3"/>
      <c r="J956" s="3"/>
    </row>
    <row r="957" spans="2:10" x14ac:dyDescent="0.25">
      <c r="B957" s="3"/>
      <c r="C957" s="3"/>
      <c r="D957" s="3"/>
      <c r="E957" s="3"/>
      <c r="F957" s="3"/>
      <c r="G957" s="3"/>
      <c r="H957" s="3"/>
      <c r="I957" s="3"/>
      <c r="J957" s="3"/>
    </row>
    <row r="958" spans="2:10" x14ac:dyDescent="0.25">
      <c r="B958" s="3"/>
      <c r="C958" s="3"/>
      <c r="D958" s="3"/>
      <c r="E958" s="3"/>
      <c r="F958" s="3"/>
      <c r="G958" s="3"/>
      <c r="H958" s="3"/>
      <c r="I958" s="3"/>
      <c r="J958" s="3"/>
    </row>
    <row r="959" spans="2:10" x14ac:dyDescent="0.25">
      <c r="B959" s="3"/>
      <c r="C959" s="3"/>
      <c r="D959" s="3"/>
      <c r="E959" s="3"/>
      <c r="F959" s="3"/>
      <c r="G959" s="3"/>
      <c r="H959" s="3"/>
      <c r="I959" s="3"/>
      <c r="J959" s="3"/>
    </row>
    <row r="960" spans="2:10" x14ac:dyDescent="0.25">
      <c r="B960" s="3"/>
      <c r="C960" s="3"/>
      <c r="D960" s="3"/>
      <c r="E960" s="3"/>
      <c r="F960" s="3"/>
      <c r="G960" s="3"/>
      <c r="H960" s="3"/>
      <c r="I960" s="3"/>
      <c r="J960" s="3"/>
    </row>
    <row r="961" spans="2:10" x14ac:dyDescent="0.25">
      <c r="B961" s="3"/>
      <c r="C961" s="3"/>
      <c r="D961" s="3"/>
      <c r="E961" s="3"/>
      <c r="F961" s="3"/>
      <c r="G961" s="3"/>
      <c r="H961" s="3"/>
      <c r="I961" s="3"/>
      <c r="J961" s="3"/>
    </row>
    <row r="962" spans="2:10" x14ac:dyDescent="0.25">
      <c r="B962" s="3"/>
      <c r="C962" s="3"/>
      <c r="D962" s="3"/>
      <c r="E962" s="3"/>
      <c r="F962" s="3"/>
      <c r="G962" s="3"/>
      <c r="H962" s="3"/>
      <c r="I962" s="3"/>
      <c r="J962" s="3"/>
    </row>
    <row r="963" spans="2:10" x14ac:dyDescent="0.25">
      <c r="B963" s="3"/>
      <c r="C963" s="3"/>
      <c r="D963" s="3"/>
      <c r="E963" s="3"/>
      <c r="F963" s="3"/>
      <c r="G963" s="3"/>
      <c r="H963" s="3"/>
      <c r="I963" s="3"/>
      <c r="J963" s="3"/>
    </row>
    <row r="964" spans="2:10" x14ac:dyDescent="0.25">
      <c r="B964" s="3"/>
      <c r="C964" s="3"/>
      <c r="D964" s="3"/>
      <c r="E964" s="3"/>
      <c r="F964" s="3"/>
      <c r="G964" s="3"/>
      <c r="H964" s="3"/>
      <c r="I964" s="3"/>
      <c r="J964" s="3"/>
    </row>
    <row r="965" spans="2:10" x14ac:dyDescent="0.25">
      <c r="B965" s="3"/>
      <c r="C965" s="3"/>
      <c r="D965" s="3"/>
      <c r="E965" s="3"/>
      <c r="F965" s="3"/>
      <c r="G965" s="3"/>
      <c r="H965" s="3"/>
      <c r="I965" s="3"/>
      <c r="J965" s="3"/>
    </row>
    <row r="966" spans="2:10" x14ac:dyDescent="0.25">
      <c r="B966" s="3"/>
      <c r="C966" s="3"/>
      <c r="D966" s="3"/>
      <c r="E966" s="3"/>
      <c r="F966" s="3"/>
      <c r="G966" s="3"/>
      <c r="H966" s="3"/>
      <c r="I966" s="3"/>
      <c r="J966" s="3"/>
    </row>
    <row r="967" spans="2:10" x14ac:dyDescent="0.25">
      <c r="B967" s="3"/>
      <c r="C967" s="3"/>
      <c r="D967" s="3"/>
      <c r="E967" s="3"/>
      <c r="F967" s="3"/>
      <c r="G967" s="3"/>
      <c r="H967" s="3"/>
      <c r="I967" s="3"/>
      <c r="J967" s="3"/>
    </row>
    <row r="968" spans="2:10" x14ac:dyDescent="0.25">
      <c r="B968" s="3"/>
      <c r="C968" s="3"/>
      <c r="D968" s="3"/>
      <c r="E968" s="3"/>
      <c r="F968" s="3"/>
      <c r="G968" s="3"/>
      <c r="H968" s="3"/>
      <c r="I968" s="3"/>
      <c r="J968" s="3"/>
    </row>
    <row r="969" spans="2:10" x14ac:dyDescent="0.25">
      <c r="B969" s="3"/>
      <c r="C969" s="3"/>
      <c r="D969" s="3"/>
      <c r="E969" s="3"/>
      <c r="F969" s="3"/>
      <c r="G969" s="3"/>
      <c r="H969" s="3"/>
      <c r="I969" s="3"/>
      <c r="J969" s="3"/>
    </row>
    <row r="970" spans="2:10" x14ac:dyDescent="0.25">
      <c r="B970" s="3"/>
      <c r="C970" s="3"/>
      <c r="D970" s="3"/>
      <c r="E970" s="3"/>
      <c r="F970" s="3"/>
      <c r="G970" s="3"/>
      <c r="H970" s="3"/>
      <c r="I970" s="3"/>
      <c r="J970" s="3"/>
    </row>
    <row r="971" spans="2:10" x14ac:dyDescent="0.25">
      <c r="B971" s="3"/>
      <c r="C971" s="3"/>
      <c r="D971" s="3"/>
      <c r="E971" s="3"/>
      <c r="F971" s="3"/>
      <c r="G971" s="3"/>
      <c r="H971" s="3"/>
      <c r="I971" s="3"/>
      <c r="J971" s="3"/>
    </row>
    <row r="972" spans="2:10" x14ac:dyDescent="0.25">
      <c r="B972" s="3"/>
      <c r="C972" s="3"/>
      <c r="D972" s="3"/>
      <c r="E972" s="3"/>
      <c r="F972" s="3"/>
      <c r="G972" s="3"/>
      <c r="H972" s="3"/>
      <c r="I972" s="3"/>
      <c r="J972" s="3"/>
    </row>
    <row r="973" spans="2:10" x14ac:dyDescent="0.25">
      <c r="B973" s="3"/>
      <c r="C973" s="3"/>
      <c r="D973" s="3"/>
      <c r="E973" s="3"/>
      <c r="F973" s="3"/>
      <c r="G973" s="3"/>
      <c r="H973" s="3"/>
      <c r="I973" s="3"/>
      <c r="J973" s="3"/>
    </row>
    <row r="974" spans="2:10" x14ac:dyDescent="0.25">
      <c r="B974" s="3"/>
      <c r="C974" s="3"/>
      <c r="D974" s="3"/>
      <c r="E974" s="3"/>
      <c r="F974" s="3"/>
      <c r="G974" s="3"/>
      <c r="H974" s="3"/>
      <c r="I974" s="3"/>
      <c r="J974" s="3"/>
    </row>
    <row r="975" spans="2:10" x14ac:dyDescent="0.25">
      <c r="B975" s="3"/>
      <c r="C975" s="3"/>
      <c r="D975" s="3"/>
      <c r="E975" s="3"/>
      <c r="F975" s="3"/>
      <c r="G975" s="3"/>
      <c r="H975" s="3"/>
      <c r="I975" s="3"/>
      <c r="J975" s="3"/>
    </row>
    <row r="976" spans="2:10" x14ac:dyDescent="0.25">
      <c r="B976" s="3"/>
      <c r="C976" s="3"/>
      <c r="D976" s="3"/>
      <c r="E976" s="3"/>
      <c r="F976" s="3"/>
      <c r="G976" s="3"/>
      <c r="H976" s="3"/>
      <c r="I976" s="3"/>
      <c r="J976" s="3"/>
    </row>
    <row r="977" spans="2:10" x14ac:dyDescent="0.25">
      <c r="B977" s="3"/>
      <c r="C977" s="3"/>
      <c r="D977" s="3"/>
      <c r="E977" s="3"/>
      <c r="F977" s="3"/>
      <c r="G977" s="3"/>
      <c r="H977" s="3"/>
      <c r="I977" s="3"/>
      <c r="J977" s="3"/>
    </row>
    <row r="978" spans="2:10" x14ac:dyDescent="0.25">
      <c r="B978" s="3"/>
      <c r="C978" s="3"/>
      <c r="D978" s="3"/>
      <c r="E978" s="3"/>
      <c r="F978" s="3"/>
      <c r="G978" s="3"/>
      <c r="H978" s="3"/>
      <c r="I978" s="3"/>
      <c r="J978" s="3"/>
    </row>
    <row r="979" spans="2:10" x14ac:dyDescent="0.25">
      <c r="B979" s="3"/>
      <c r="C979" s="3"/>
      <c r="D979" s="3"/>
      <c r="E979" s="3"/>
      <c r="F979" s="3"/>
      <c r="G979" s="3"/>
      <c r="H979" s="3"/>
      <c r="I979" s="3"/>
      <c r="J979" s="3"/>
    </row>
    <row r="980" spans="2:10" x14ac:dyDescent="0.25">
      <c r="B980" s="3"/>
      <c r="C980" s="3"/>
      <c r="D980" s="3"/>
      <c r="E980" s="3"/>
      <c r="F980" s="3"/>
      <c r="G980" s="3"/>
      <c r="H980" s="3"/>
      <c r="I980" s="3"/>
      <c r="J980" s="3"/>
    </row>
    <row r="981" spans="2:10" x14ac:dyDescent="0.25">
      <c r="B981" s="3"/>
      <c r="C981" s="3"/>
      <c r="D981" s="3"/>
      <c r="E981" s="3"/>
      <c r="F981" s="3"/>
      <c r="G981" s="3"/>
      <c r="H981" s="3"/>
      <c r="I981" s="3"/>
      <c r="J981" s="3"/>
    </row>
    <row r="982" spans="2:10" x14ac:dyDescent="0.25">
      <c r="B982" s="3"/>
      <c r="C982" s="3"/>
      <c r="D982" s="3"/>
      <c r="E982" s="3"/>
      <c r="F982" s="3"/>
      <c r="G982" s="3"/>
      <c r="H982" s="3"/>
      <c r="I982" s="3"/>
      <c r="J982" s="3"/>
    </row>
    <row r="983" spans="2:10" x14ac:dyDescent="0.25">
      <c r="B983" s="3"/>
      <c r="C983" s="3"/>
      <c r="D983" s="3"/>
      <c r="E983" s="3"/>
      <c r="F983" s="3"/>
      <c r="G983" s="3"/>
      <c r="H983" s="3"/>
      <c r="I983" s="3"/>
      <c r="J983" s="3"/>
    </row>
    <row r="984" spans="2:10" x14ac:dyDescent="0.25">
      <c r="B984" s="3"/>
      <c r="C984" s="3"/>
      <c r="D984" s="3"/>
      <c r="E984" s="3"/>
      <c r="F984" s="3"/>
      <c r="G984" s="3"/>
      <c r="H984" s="3"/>
      <c r="I984" s="3"/>
      <c r="J984" s="3"/>
    </row>
    <row r="985" spans="2:10" x14ac:dyDescent="0.25">
      <c r="B985" s="3"/>
      <c r="C985" s="3"/>
      <c r="D985" s="3"/>
      <c r="E985" s="3"/>
      <c r="F985" s="3"/>
      <c r="G985" s="3"/>
      <c r="H985" s="3"/>
      <c r="I985" s="3"/>
      <c r="J985" s="3"/>
    </row>
    <row r="986" spans="2:10" x14ac:dyDescent="0.25">
      <c r="B986" s="3"/>
      <c r="C986" s="3"/>
      <c r="D986" s="3"/>
      <c r="E986" s="3"/>
      <c r="F986" s="3"/>
      <c r="G986" s="3"/>
      <c r="H986" s="3"/>
      <c r="I986" s="3"/>
      <c r="J986" s="3"/>
    </row>
    <row r="987" spans="2:10" x14ac:dyDescent="0.25">
      <c r="B987" s="3"/>
      <c r="C987" s="3"/>
      <c r="D987" s="3"/>
      <c r="E987" s="3"/>
      <c r="F987" s="3"/>
      <c r="G987" s="3"/>
      <c r="H987" s="3"/>
      <c r="I987" s="3"/>
      <c r="J987" s="3"/>
    </row>
    <row r="988" spans="2:10" x14ac:dyDescent="0.25">
      <c r="B988" s="3"/>
      <c r="C988" s="3"/>
      <c r="D988" s="3"/>
      <c r="E988" s="3"/>
      <c r="F988" s="3"/>
      <c r="G988" s="3"/>
      <c r="H988" s="3"/>
      <c r="I988" s="3"/>
      <c r="J988" s="3"/>
    </row>
    <row r="989" spans="2:10" x14ac:dyDescent="0.25">
      <c r="B989" s="3"/>
      <c r="C989" s="3"/>
      <c r="D989" s="3"/>
      <c r="E989" s="3"/>
      <c r="F989" s="3"/>
      <c r="G989" s="3"/>
      <c r="H989" s="3"/>
      <c r="I989" s="3"/>
      <c r="J989" s="3"/>
    </row>
    <row r="990" spans="2:10" x14ac:dyDescent="0.25">
      <c r="B990" s="3"/>
      <c r="C990" s="3"/>
      <c r="D990" s="3"/>
      <c r="E990" s="3"/>
      <c r="F990" s="3"/>
      <c r="G990" s="3"/>
      <c r="H990" s="3"/>
      <c r="I990" s="3"/>
      <c r="J990" s="3"/>
    </row>
    <row r="991" spans="2:10" x14ac:dyDescent="0.25">
      <c r="B991" s="3"/>
      <c r="C991" s="3"/>
      <c r="D991" s="3"/>
      <c r="E991" s="3"/>
      <c r="F991" s="3"/>
      <c r="G991" s="3"/>
      <c r="H991" s="3"/>
      <c r="I991" s="3"/>
      <c r="J991" s="3"/>
    </row>
    <row r="992" spans="2:10" x14ac:dyDescent="0.25">
      <c r="B992" s="3"/>
      <c r="C992" s="3"/>
      <c r="D992" s="3"/>
      <c r="E992" s="3"/>
      <c r="F992" s="3"/>
      <c r="G992" s="3"/>
      <c r="H992" s="3"/>
      <c r="I992" s="3"/>
      <c r="J992" s="3"/>
    </row>
    <row r="993" spans="2:10" x14ac:dyDescent="0.25">
      <c r="B993" s="3"/>
      <c r="C993" s="3"/>
      <c r="D993" s="3"/>
      <c r="E993" s="3"/>
      <c r="F993" s="3"/>
      <c r="G993" s="3"/>
      <c r="H993" s="3"/>
      <c r="I993" s="3"/>
      <c r="J993" s="3"/>
    </row>
    <row r="994" spans="2:10" x14ac:dyDescent="0.25">
      <c r="B994" s="3"/>
      <c r="C994" s="3"/>
      <c r="D994" s="3"/>
      <c r="E994" s="3"/>
      <c r="F994" s="3"/>
      <c r="G994" s="3"/>
      <c r="H994" s="3"/>
      <c r="I994" s="3"/>
      <c r="J994" s="3"/>
    </row>
    <row r="995" spans="2:10" x14ac:dyDescent="0.25">
      <c r="B995" s="3"/>
      <c r="C995" s="3"/>
      <c r="D995" s="3"/>
      <c r="E995" s="3"/>
      <c r="F995" s="3"/>
      <c r="G995" s="3"/>
      <c r="H995" s="3"/>
      <c r="I995" s="3"/>
      <c r="J995" s="3"/>
    </row>
    <row r="996" spans="2:10" x14ac:dyDescent="0.25">
      <c r="B996" s="3"/>
      <c r="C996" s="3"/>
      <c r="D996" s="3"/>
      <c r="E996" s="3"/>
      <c r="F996" s="3"/>
      <c r="G996" s="3"/>
      <c r="H996" s="3"/>
      <c r="I996" s="3"/>
      <c r="J996" s="3"/>
    </row>
    <row r="997" spans="2:10" x14ac:dyDescent="0.25">
      <c r="B997" s="3"/>
      <c r="C997" s="3"/>
      <c r="D997" s="3"/>
      <c r="E997" s="3"/>
      <c r="F997" s="3"/>
      <c r="G997" s="3"/>
      <c r="H997" s="3"/>
      <c r="I997" s="3"/>
      <c r="J997" s="3"/>
    </row>
    <row r="998" spans="2:10" x14ac:dyDescent="0.25">
      <c r="B998" s="3"/>
      <c r="C998" s="3"/>
      <c r="D998" s="3"/>
      <c r="E998" s="3"/>
      <c r="F998" s="3"/>
      <c r="G998" s="3"/>
      <c r="H998" s="3"/>
      <c r="I998" s="3"/>
      <c r="J998" s="3"/>
    </row>
    <row r="999" spans="2:10" x14ac:dyDescent="0.25">
      <c r="B999" s="3"/>
      <c r="C999" s="3"/>
      <c r="D999" s="3"/>
      <c r="E999" s="3"/>
      <c r="F999" s="3"/>
      <c r="G999" s="3"/>
      <c r="H999" s="3"/>
      <c r="I999" s="3"/>
      <c r="J999" s="3"/>
    </row>
    <row r="1000" spans="2:10" x14ac:dyDescent="0.25">
      <c r="B1000" s="3"/>
      <c r="C1000" s="3"/>
      <c r="D1000" s="3"/>
      <c r="E1000" s="3"/>
      <c r="F1000" s="3"/>
      <c r="G1000" s="3"/>
      <c r="H1000" s="3"/>
      <c r="I1000" s="3"/>
      <c r="J1000" s="3"/>
    </row>
    <row r="1001" spans="2:10" x14ac:dyDescent="0.25">
      <c r="B1001" s="3"/>
      <c r="C1001" s="3"/>
      <c r="D1001" s="3"/>
      <c r="E1001" s="3"/>
      <c r="F1001" s="3"/>
      <c r="G1001" s="3"/>
      <c r="H1001" s="3"/>
      <c r="I1001" s="3"/>
      <c r="J1001" s="3"/>
    </row>
    <row r="1002" spans="2:10" x14ac:dyDescent="0.25">
      <c r="B1002" s="3"/>
      <c r="C1002" s="3"/>
      <c r="D1002" s="3"/>
      <c r="E1002" s="3"/>
      <c r="F1002" s="3"/>
      <c r="G1002" s="3"/>
      <c r="H1002" s="3"/>
      <c r="I1002" s="3"/>
      <c r="J1002" s="3"/>
    </row>
    <row r="1003" spans="2:10" x14ac:dyDescent="0.25">
      <c r="B1003" s="3"/>
      <c r="C1003" s="3"/>
      <c r="D1003" s="3"/>
      <c r="E1003" s="3"/>
      <c r="F1003" s="3"/>
      <c r="G1003" s="3"/>
      <c r="H1003" s="3"/>
      <c r="I1003" s="3"/>
      <c r="J1003" s="3"/>
    </row>
    <row r="1004" spans="2:10" x14ac:dyDescent="0.25">
      <c r="B1004" s="3"/>
      <c r="C1004" s="3"/>
      <c r="D1004" s="3"/>
      <c r="E1004" s="3"/>
      <c r="F1004" s="3"/>
      <c r="G1004" s="3"/>
      <c r="H1004" s="3"/>
      <c r="I1004" s="3"/>
      <c r="J1004" s="3"/>
    </row>
    <row r="1005" spans="2:10" x14ac:dyDescent="0.25">
      <c r="B1005" s="3"/>
      <c r="C1005" s="3"/>
      <c r="D1005" s="3"/>
      <c r="E1005" s="3"/>
      <c r="F1005" s="3"/>
      <c r="G1005" s="3"/>
      <c r="H1005" s="3"/>
      <c r="I1005" s="3"/>
      <c r="J1005" s="3"/>
    </row>
    <row r="1006" spans="2:10" x14ac:dyDescent="0.25">
      <c r="B1006" s="3"/>
      <c r="C1006" s="3"/>
      <c r="D1006" s="3"/>
      <c r="E1006" s="3"/>
      <c r="F1006" s="3"/>
      <c r="G1006" s="3"/>
      <c r="H1006" s="3"/>
      <c r="I1006" s="3"/>
      <c r="J1006" s="3"/>
    </row>
    <row r="1007" spans="2:10" x14ac:dyDescent="0.25">
      <c r="B1007" s="3"/>
      <c r="C1007" s="3"/>
      <c r="D1007" s="3"/>
      <c r="E1007" s="3"/>
      <c r="F1007" s="3"/>
      <c r="G1007" s="3"/>
      <c r="H1007" s="3"/>
      <c r="I1007" s="3"/>
      <c r="J1007" s="3"/>
    </row>
    <row r="1008" spans="2:10" x14ac:dyDescent="0.25">
      <c r="B1008" s="3"/>
      <c r="C1008" s="3"/>
      <c r="D1008" s="3"/>
      <c r="E1008" s="3"/>
      <c r="F1008" s="3"/>
      <c r="G1008" s="3"/>
      <c r="H1008" s="3"/>
      <c r="I1008" s="3"/>
      <c r="J1008" s="3"/>
    </row>
    <row r="1009" spans="2:10" x14ac:dyDescent="0.25">
      <c r="B1009" s="3"/>
      <c r="C1009" s="3"/>
      <c r="D1009" s="3"/>
      <c r="E1009" s="3"/>
      <c r="F1009" s="3"/>
      <c r="G1009" s="3"/>
      <c r="H1009" s="3"/>
      <c r="I1009" s="3"/>
      <c r="J1009" s="3"/>
    </row>
    <row r="1010" spans="2:10" x14ac:dyDescent="0.25">
      <c r="B1010" s="3"/>
      <c r="C1010" s="3"/>
      <c r="D1010" s="3"/>
      <c r="E1010" s="3"/>
      <c r="F1010" s="3"/>
      <c r="G1010" s="3"/>
      <c r="H1010" s="3"/>
      <c r="I1010" s="3"/>
      <c r="J1010" s="3"/>
    </row>
    <row r="1011" spans="2:10" x14ac:dyDescent="0.25">
      <c r="B1011" s="3"/>
      <c r="C1011" s="3"/>
      <c r="D1011" s="3"/>
      <c r="E1011" s="3"/>
      <c r="F1011" s="3"/>
      <c r="G1011" s="3"/>
      <c r="H1011" s="3"/>
      <c r="I1011" s="3"/>
      <c r="J1011" s="3"/>
    </row>
    <row r="1012" spans="2:10" x14ac:dyDescent="0.25">
      <c r="B1012" s="3"/>
      <c r="C1012" s="3"/>
      <c r="D1012" s="3"/>
      <c r="E1012" s="3"/>
      <c r="F1012" s="3"/>
      <c r="G1012" s="3"/>
      <c r="H1012" s="3"/>
      <c r="I1012" s="3"/>
      <c r="J1012" s="3"/>
    </row>
    <row r="1013" spans="2:10" x14ac:dyDescent="0.25">
      <c r="B1013" s="3"/>
      <c r="C1013" s="3"/>
      <c r="D1013" s="3"/>
      <c r="E1013" s="3"/>
      <c r="F1013" s="3"/>
      <c r="G1013" s="3"/>
      <c r="H1013" s="3"/>
      <c r="I1013" s="3"/>
      <c r="J1013" s="3"/>
    </row>
    <row r="1014" spans="2:10" x14ac:dyDescent="0.25">
      <c r="B1014" s="3"/>
      <c r="C1014" s="3"/>
      <c r="D1014" s="3"/>
      <c r="E1014" s="3"/>
      <c r="F1014" s="3"/>
      <c r="G1014" s="3"/>
      <c r="H1014" s="3"/>
      <c r="I1014" s="3"/>
      <c r="J1014" s="3"/>
    </row>
    <row r="1015" spans="2:10" x14ac:dyDescent="0.25">
      <c r="B1015" s="3"/>
      <c r="C1015" s="3"/>
      <c r="D1015" s="3"/>
      <c r="E1015" s="3"/>
      <c r="F1015" s="3"/>
      <c r="G1015" s="3"/>
      <c r="H1015" s="3"/>
      <c r="I1015" s="3"/>
      <c r="J1015" s="3"/>
    </row>
    <row r="1016" spans="2:10" x14ac:dyDescent="0.25">
      <c r="B1016" s="3"/>
      <c r="C1016" s="3"/>
      <c r="D1016" s="3"/>
      <c r="E1016" s="3"/>
      <c r="F1016" s="3"/>
      <c r="G1016" s="3"/>
      <c r="H1016" s="3"/>
      <c r="I1016" s="3"/>
      <c r="J1016" s="3"/>
    </row>
    <row r="1017" spans="2:10" x14ac:dyDescent="0.25">
      <c r="B1017" s="3"/>
      <c r="C1017" s="3"/>
      <c r="D1017" s="3"/>
      <c r="E1017" s="3"/>
      <c r="F1017" s="3"/>
      <c r="G1017" s="3"/>
      <c r="H1017" s="3"/>
      <c r="I1017" s="3"/>
      <c r="J1017" s="3"/>
    </row>
    <row r="1018" spans="2:10" x14ac:dyDescent="0.25">
      <c r="B1018" s="3"/>
      <c r="C1018" s="3"/>
      <c r="D1018" s="3"/>
      <c r="E1018" s="3"/>
      <c r="F1018" s="3"/>
      <c r="G1018" s="3"/>
      <c r="H1018" s="3"/>
      <c r="I1018" s="3"/>
      <c r="J1018" s="3"/>
    </row>
    <row r="1019" spans="2:10" x14ac:dyDescent="0.25">
      <c r="B1019" s="3"/>
      <c r="C1019" s="3"/>
      <c r="D1019" s="3"/>
      <c r="E1019" s="3"/>
      <c r="F1019" s="3"/>
      <c r="G1019" s="3"/>
      <c r="H1019" s="3"/>
      <c r="I1019" s="3"/>
      <c r="J1019" s="3"/>
    </row>
    <row r="1020" spans="2:10" x14ac:dyDescent="0.25">
      <c r="B1020" s="3"/>
      <c r="C1020" s="3"/>
      <c r="D1020" s="3"/>
      <c r="E1020" s="3"/>
      <c r="F1020" s="3"/>
      <c r="G1020" s="3"/>
      <c r="H1020" s="3"/>
      <c r="I1020" s="3"/>
      <c r="J1020" s="3"/>
    </row>
    <row r="1021" spans="2:10" x14ac:dyDescent="0.25">
      <c r="B1021" s="3"/>
      <c r="C1021" s="3"/>
      <c r="D1021" s="3"/>
      <c r="E1021" s="3"/>
      <c r="F1021" s="3"/>
      <c r="G1021" s="3"/>
      <c r="H1021" s="3"/>
      <c r="I1021" s="3"/>
      <c r="J1021" s="3"/>
    </row>
    <row r="1022" spans="2:10" x14ac:dyDescent="0.25">
      <c r="B1022" s="3"/>
      <c r="C1022" s="3"/>
      <c r="D1022" s="3"/>
      <c r="E1022" s="3"/>
      <c r="F1022" s="3"/>
      <c r="G1022" s="3"/>
      <c r="H1022" s="3"/>
      <c r="I1022" s="3"/>
      <c r="J1022" s="3"/>
    </row>
    <row r="1023" spans="2:10" x14ac:dyDescent="0.25">
      <c r="B1023" s="3"/>
      <c r="C1023" s="3"/>
      <c r="D1023" s="3"/>
      <c r="E1023" s="3"/>
      <c r="F1023" s="3"/>
      <c r="G1023" s="3"/>
      <c r="H1023" s="3"/>
      <c r="I1023" s="3"/>
      <c r="J1023" s="3"/>
    </row>
    <row r="1024" spans="2:10" x14ac:dyDescent="0.25">
      <c r="B1024" s="3"/>
      <c r="C1024" s="3"/>
      <c r="D1024" s="3"/>
      <c r="E1024" s="3"/>
      <c r="F1024" s="3"/>
      <c r="G1024" s="3"/>
      <c r="H1024" s="3"/>
      <c r="I1024" s="3"/>
      <c r="J1024" s="3"/>
    </row>
    <row r="1025" spans="2:10" x14ac:dyDescent="0.25">
      <c r="B1025" s="3"/>
      <c r="C1025" s="3"/>
      <c r="D1025" s="3"/>
      <c r="E1025" s="3"/>
      <c r="F1025" s="3"/>
      <c r="G1025" s="3"/>
      <c r="H1025" s="3"/>
      <c r="I1025" s="3"/>
      <c r="J1025" s="3"/>
    </row>
    <row r="1026" spans="2:10" x14ac:dyDescent="0.25">
      <c r="B1026" s="3"/>
      <c r="C1026" s="3"/>
      <c r="D1026" s="3"/>
      <c r="E1026" s="3"/>
      <c r="F1026" s="3"/>
      <c r="G1026" s="3"/>
      <c r="H1026" s="3"/>
      <c r="I1026" s="3"/>
      <c r="J1026" s="3"/>
    </row>
    <row r="1027" spans="2:10" x14ac:dyDescent="0.25">
      <c r="B1027" s="3"/>
      <c r="C1027" s="3"/>
      <c r="D1027" s="3"/>
      <c r="E1027" s="3"/>
      <c r="F1027" s="3"/>
      <c r="G1027" s="3"/>
      <c r="H1027" s="3"/>
      <c r="I1027" s="3"/>
      <c r="J1027" s="3"/>
    </row>
    <row r="1028" spans="2:10" x14ac:dyDescent="0.25">
      <c r="B1028" s="3"/>
      <c r="C1028" s="3"/>
      <c r="D1028" s="3"/>
      <c r="E1028" s="3"/>
      <c r="F1028" s="3"/>
      <c r="G1028" s="3"/>
      <c r="H1028" s="3"/>
      <c r="I1028" s="3"/>
      <c r="J1028" s="3"/>
    </row>
    <row r="1029" spans="2:10" x14ac:dyDescent="0.25">
      <c r="B1029" s="3"/>
      <c r="C1029" s="3"/>
      <c r="D1029" s="3"/>
      <c r="E1029" s="3"/>
      <c r="F1029" s="3"/>
      <c r="G1029" s="3"/>
      <c r="H1029" s="3"/>
      <c r="I1029" s="3"/>
      <c r="J1029" s="3"/>
    </row>
    <row r="1030" spans="2:10" x14ac:dyDescent="0.25">
      <c r="B1030" s="3"/>
      <c r="C1030" s="3"/>
      <c r="D1030" s="3"/>
      <c r="E1030" s="3"/>
      <c r="F1030" s="3"/>
      <c r="G1030" s="3"/>
      <c r="H1030" s="3"/>
      <c r="I1030" s="3"/>
      <c r="J1030" s="3"/>
    </row>
    <row r="1031" spans="2:10" x14ac:dyDescent="0.25">
      <c r="B1031" s="3"/>
      <c r="C1031" s="3"/>
      <c r="D1031" s="3"/>
      <c r="E1031" s="3"/>
      <c r="F1031" s="3"/>
      <c r="G1031" s="3"/>
      <c r="H1031" s="3"/>
      <c r="I1031" s="3"/>
      <c r="J1031" s="3"/>
    </row>
    <row r="1032" spans="2:10" x14ac:dyDescent="0.25">
      <c r="B1032" s="3"/>
      <c r="C1032" s="3"/>
      <c r="D1032" s="3"/>
      <c r="E1032" s="3"/>
      <c r="F1032" s="3"/>
      <c r="G1032" s="3"/>
      <c r="H1032" s="3"/>
      <c r="I1032" s="3"/>
      <c r="J1032" s="3"/>
    </row>
    <row r="1033" spans="2:10" x14ac:dyDescent="0.25">
      <c r="B1033" s="3"/>
      <c r="C1033" s="3"/>
      <c r="D1033" s="3"/>
      <c r="E1033" s="3"/>
      <c r="F1033" s="3"/>
      <c r="G1033" s="3"/>
      <c r="H1033" s="3"/>
      <c r="I1033" s="3"/>
      <c r="J1033" s="3"/>
    </row>
    <row r="1034" spans="2:10" x14ac:dyDescent="0.25">
      <c r="B1034" s="3"/>
      <c r="C1034" s="3"/>
      <c r="D1034" s="3"/>
      <c r="E1034" s="3"/>
      <c r="F1034" s="3"/>
      <c r="G1034" s="3"/>
      <c r="H1034" s="3"/>
      <c r="I1034" s="3"/>
      <c r="J1034" s="3"/>
    </row>
    <row r="1035" spans="2:10" x14ac:dyDescent="0.25">
      <c r="B1035" s="3"/>
      <c r="C1035" s="3"/>
      <c r="D1035" s="3"/>
      <c r="E1035" s="3"/>
      <c r="F1035" s="3"/>
      <c r="G1035" s="3"/>
      <c r="H1035" s="3"/>
      <c r="I1035" s="3"/>
      <c r="J1035" s="3"/>
    </row>
    <row r="1036" spans="2:10" x14ac:dyDescent="0.25">
      <c r="B1036" s="3"/>
      <c r="C1036" s="3"/>
      <c r="D1036" s="3"/>
      <c r="E1036" s="3"/>
      <c r="F1036" s="3"/>
      <c r="G1036" s="3"/>
      <c r="H1036" s="3"/>
      <c r="I1036" s="3"/>
      <c r="J1036" s="3"/>
    </row>
    <row r="1037" spans="2:10" x14ac:dyDescent="0.25">
      <c r="B1037" s="3"/>
      <c r="C1037" s="3"/>
      <c r="D1037" s="3"/>
      <c r="E1037" s="3"/>
      <c r="F1037" s="3"/>
      <c r="G1037" s="3"/>
      <c r="H1037" s="3"/>
      <c r="I1037" s="3"/>
      <c r="J1037" s="3"/>
    </row>
    <row r="1038" spans="2:10" x14ac:dyDescent="0.25">
      <c r="B1038" s="3"/>
      <c r="C1038" s="3"/>
      <c r="D1038" s="3"/>
      <c r="E1038" s="3"/>
      <c r="F1038" s="3"/>
      <c r="G1038" s="3"/>
      <c r="H1038" s="3"/>
      <c r="I1038" s="3"/>
      <c r="J1038" s="3"/>
    </row>
    <row r="1039" spans="2:10" x14ac:dyDescent="0.25">
      <c r="B1039" s="3"/>
      <c r="C1039" s="3"/>
      <c r="D1039" s="3"/>
      <c r="E1039" s="3"/>
      <c r="F1039" s="3"/>
      <c r="G1039" s="3"/>
      <c r="H1039" s="3"/>
      <c r="I1039" s="3"/>
      <c r="J1039" s="3"/>
    </row>
    <row r="1040" spans="2:10" x14ac:dyDescent="0.25">
      <c r="B1040" s="3"/>
      <c r="C1040" s="3"/>
      <c r="D1040" s="3"/>
      <c r="E1040" s="3"/>
      <c r="F1040" s="3"/>
      <c r="G1040" s="3"/>
      <c r="H1040" s="3"/>
      <c r="I1040" s="3"/>
      <c r="J1040" s="3"/>
    </row>
    <row r="1041" spans="2:10" x14ac:dyDescent="0.25">
      <c r="B1041" s="3"/>
      <c r="C1041" s="3"/>
      <c r="D1041" s="3"/>
      <c r="E1041" s="3"/>
      <c r="F1041" s="3"/>
      <c r="G1041" s="3"/>
      <c r="H1041" s="3"/>
      <c r="I1041" s="3"/>
      <c r="J1041" s="3"/>
    </row>
    <row r="1042" spans="2:10" x14ac:dyDescent="0.25">
      <c r="B1042" s="3"/>
      <c r="C1042" s="3"/>
      <c r="D1042" s="3"/>
      <c r="E1042" s="3"/>
      <c r="F1042" s="3"/>
      <c r="G1042" s="3"/>
      <c r="H1042" s="3"/>
      <c r="I1042" s="3"/>
      <c r="J1042" s="3"/>
    </row>
    <row r="1043" spans="2:10" x14ac:dyDescent="0.25">
      <c r="B1043" s="3"/>
      <c r="C1043" s="3"/>
      <c r="D1043" s="3"/>
      <c r="E1043" s="3"/>
      <c r="F1043" s="3"/>
      <c r="G1043" s="3"/>
      <c r="H1043" s="3"/>
      <c r="I1043" s="3"/>
      <c r="J1043" s="3"/>
    </row>
    <row r="1044" spans="2:10" x14ac:dyDescent="0.25">
      <c r="B1044" s="3"/>
      <c r="C1044" s="3"/>
      <c r="D1044" s="3"/>
      <c r="E1044" s="3"/>
      <c r="F1044" s="3"/>
      <c r="G1044" s="3"/>
      <c r="H1044" s="3"/>
      <c r="I1044" s="3"/>
      <c r="J1044" s="3"/>
    </row>
    <row r="1045" spans="2:10" x14ac:dyDescent="0.25">
      <c r="B1045" s="3"/>
      <c r="C1045" s="3"/>
      <c r="D1045" s="3"/>
      <c r="E1045" s="3"/>
      <c r="F1045" s="3"/>
      <c r="G1045" s="3"/>
      <c r="H1045" s="3"/>
      <c r="I1045" s="3"/>
      <c r="J1045" s="3"/>
    </row>
    <row r="1046" spans="2:10" x14ac:dyDescent="0.25">
      <c r="B1046" s="3"/>
      <c r="C1046" s="3"/>
      <c r="D1046" s="3"/>
      <c r="E1046" s="3"/>
      <c r="F1046" s="3"/>
      <c r="G1046" s="3"/>
      <c r="H1046" s="3"/>
      <c r="I1046" s="3"/>
      <c r="J1046" s="3"/>
    </row>
    <row r="1047" spans="2:10" x14ac:dyDescent="0.25">
      <c r="B1047" s="3"/>
      <c r="C1047" s="3"/>
      <c r="D1047" s="3"/>
      <c r="E1047" s="3"/>
      <c r="F1047" s="3"/>
      <c r="G1047" s="3"/>
      <c r="H1047" s="3"/>
      <c r="I1047" s="3"/>
      <c r="J1047" s="3"/>
    </row>
    <row r="1048" spans="2:10" x14ac:dyDescent="0.25">
      <c r="B1048" s="3"/>
      <c r="C1048" s="3"/>
      <c r="D1048" s="3"/>
      <c r="E1048" s="3"/>
      <c r="F1048" s="3"/>
      <c r="G1048" s="3"/>
      <c r="H1048" s="3"/>
      <c r="I1048" s="3"/>
      <c r="J1048" s="3"/>
    </row>
    <row r="1049" spans="2:10" x14ac:dyDescent="0.25">
      <c r="B1049" s="3"/>
      <c r="C1049" s="3"/>
      <c r="D1049" s="3"/>
      <c r="E1049" s="3"/>
      <c r="F1049" s="3"/>
      <c r="G1049" s="3"/>
      <c r="H1049" s="3"/>
      <c r="I1049" s="3"/>
      <c r="J1049" s="3"/>
    </row>
    <row r="1050" spans="2:10" x14ac:dyDescent="0.25">
      <c r="B1050" s="3"/>
      <c r="C1050" s="3"/>
      <c r="D1050" s="3"/>
      <c r="E1050" s="3"/>
      <c r="F1050" s="3"/>
      <c r="G1050" s="3"/>
      <c r="H1050" s="3"/>
      <c r="I1050" s="3"/>
      <c r="J1050" s="3"/>
    </row>
    <row r="1051" spans="2:10" x14ac:dyDescent="0.25">
      <c r="B1051" s="3"/>
      <c r="C1051" s="3"/>
      <c r="D1051" s="3"/>
      <c r="E1051" s="3"/>
      <c r="F1051" s="3"/>
      <c r="G1051" s="3"/>
      <c r="H1051" s="3"/>
      <c r="I1051" s="3"/>
      <c r="J1051" s="3"/>
    </row>
    <row r="1052" spans="2:10" x14ac:dyDescent="0.25">
      <c r="B1052" s="3"/>
      <c r="C1052" s="3"/>
      <c r="D1052" s="3"/>
      <c r="E1052" s="3"/>
      <c r="F1052" s="3"/>
      <c r="G1052" s="3"/>
      <c r="H1052" s="3"/>
      <c r="I1052" s="3"/>
      <c r="J1052" s="3"/>
    </row>
    <row r="1053" spans="2:10" x14ac:dyDescent="0.25">
      <c r="B1053" s="3"/>
      <c r="C1053" s="3"/>
      <c r="D1053" s="3"/>
      <c r="E1053" s="3"/>
      <c r="F1053" s="3"/>
      <c r="G1053" s="3"/>
      <c r="H1053" s="3"/>
      <c r="I1053" s="3"/>
      <c r="J1053" s="3"/>
    </row>
    <row r="1054" spans="2:10" x14ac:dyDescent="0.25">
      <c r="B1054" s="3"/>
      <c r="C1054" s="3"/>
      <c r="D1054" s="3"/>
      <c r="E1054" s="3"/>
      <c r="F1054" s="3"/>
      <c r="G1054" s="3"/>
      <c r="H1054" s="3"/>
      <c r="I1054" s="3"/>
      <c r="J1054" s="3"/>
    </row>
    <row r="1055" spans="2:10" x14ac:dyDescent="0.25">
      <c r="B1055" s="3"/>
      <c r="C1055" s="3"/>
      <c r="D1055" s="3"/>
      <c r="E1055" s="3"/>
      <c r="F1055" s="3"/>
      <c r="G1055" s="3"/>
      <c r="H1055" s="3"/>
      <c r="I1055" s="3"/>
      <c r="J1055" s="3"/>
    </row>
    <row r="1056" spans="2:10" x14ac:dyDescent="0.25">
      <c r="B1056" s="3"/>
      <c r="C1056" s="3"/>
      <c r="D1056" s="3"/>
      <c r="E1056" s="3"/>
      <c r="F1056" s="3"/>
      <c r="G1056" s="3"/>
      <c r="H1056" s="3"/>
      <c r="I1056" s="3"/>
      <c r="J1056" s="3"/>
    </row>
    <row r="1057" spans="2:10" x14ac:dyDescent="0.25">
      <c r="B1057" s="3"/>
      <c r="C1057" s="3"/>
      <c r="D1057" s="3"/>
      <c r="E1057" s="3"/>
      <c r="F1057" s="3"/>
      <c r="G1057" s="3"/>
      <c r="H1057" s="3"/>
      <c r="I1057" s="3"/>
      <c r="J1057" s="3"/>
    </row>
    <row r="1058" spans="2:10" x14ac:dyDescent="0.25">
      <c r="B1058" s="3"/>
      <c r="C1058" s="3"/>
      <c r="D1058" s="3"/>
      <c r="E1058" s="3"/>
      <c r="F1058" s="3"/>
      <c r="G1058" s="3"/>
      <c r="H1058" s="3"/>
      <c r="I1058" s="3"/>
      <c r="J1058" s="3"/>
    </row>
    <row r="1059" spans="2:10" x14ac:dyDescent="0.25">
      <c r="B1059" s="3"/>
      <c r="C1059" s="3"/>
      <c r="D1059" s="3"/>
      <c r="E1059" s="3"/>
      <c r="F1059" s="3"/>
      <c r="G1059" s="3"/>
      <c r="H1059" s="3"/>
      <c r="I1059" s="3"/>
      <c r="J1059" s="3"/>
    </row>
    <row r="1060" spans="2:10" x14ac:dyDescent="0.25">
      <c r="B1060" s="3"/>
      <c r="C1060" s="3"/>
      <c r="D1060" s="3"/>
      <c r="E1060" s="3"/>
      <c r="F1060" s="3"/>
      <c r="G1060" s="3"/>
      <c r="H1060" s="3"/>
      <c r="I1060" s="3"/>
      <c r="J1060" s="3"/>
    </row>
    <row r="1061" spans="2:10" x14ac:dyDescent="0.25">
      <c r="B1061" s="3"/>
      <c r="C1061" s="3"/>
      <c r="D1061" s="3"/>
      <c r="E1061" s="3"/>
      <c r="F1061" s="3"/>
      <c r="G1061" s="3"/>
      <c r="H1061" s="3"/>
      <c r="I1061" s="3"/>
      <c r="J1061" s="3"/>
    </row>
    <row r="1062" spans="2:10" x14ac:dyDescent="0.25">
      <c r="B1062" s="3"/>
      <c r="C1062" s="3"/>
      <c r="D1062" s="3"/>
      <c r="E1062" s="3"/>
      <c r="F1062" s="3"/>
      <c r="G1062" s="3"/>
      <c r="H1062" s="3"/>
      <c r="I1062" s="3"/>
      <c r="J1062" s="3"/>
    </row>
    <row r="1063" spans="2:10" x14ac:dyDescent="0.25">
      <c r="B1063" s="3"/>
      <c r="C1063" s="3"/>
      <c r="D1063" s="3"/>
      <c r="E1063" s="3"/>
      <c r="F1063" s="3"/>
      <c r="G1063" s="3"/>
      <c r="H1063" s="3"/>
      <c r="I1063" s="3"/>
      <c r="J1063" s="3"/>
    </row>
    <row r="1064" spans="2:10" x14ac:dyDescent="0.25">
      <c r="B1064" s="3"/>
      <c r="C1064" s="3"/>
      <c r="D1064" s="3"/>
      <c r="E1064" s="3"/>
      <c r="F1064" s="3"/>
      <c r="G1064" s="3"/>
      <c r="H1064" s="3"/>
      <c r="I1064" s="3"/>
      <c r="J1064" s="3"/>
    </row>
    <row r="1065" spans="2:10" x14ac:dyDescent="0.25">
      <c r="B1065" s="3"/>
      <c r="C1065" s="3"/>
      <c r="D1065" s="3"/>
      <c r="E1065" s="3"/>
      <c r="F1065" s="3"/>
      <c r="G1065" s="3"/>
      <c r="H1065" s="3"/>
      <c r="I1065" s="3"/>
      <c r="J1065" s="3"/>
    </row>
    <row r="1066" spans="2:10" x14ac:dyDescent="0.25">
      <c r="B1066" s="3"/>
      <c r="C1066" s="3"/>
      <c r="D1066" s="3"/>
      <c r="E1066" s="3"/>
      <c r="F1066" s="3"/>
      <c r="G1066" s="3"/>
      <c r="H1066" s="3"/>
      <c r="I1066" s="3"/>
      <c r="J1066" s="3"/>
    </row>
    <row r="1067" spans="2:10" x14ac:dyDescent="0.25">
      <c r="B1067" s="3"/>
      <c r="C1067" s="3"/>
      <c r="D1067" s="3"/>
      <c r="E1067" s="3"/>
      <c r="F1067" s="3"/>
      <c r="G1067" s="3"/>
      <c r="H1067" s="3"/>
      <c r="I1067" s="3"/>
      <c r="J1067" s="3"/>
    </row>
    <row r="1068" spans="2:10" x14ac:dyDescent="0.25">
      <c r="B1068" s="3"/>
      <c r="C1068" s="3"/>
      <c r="D1068" s="3"/>
      <c r="E1068" s="3"/>
      <c r="F1068" s="3"/>
      <c r="G1068" s="3"/>
      <c r="H1068" s="3"/>
      <c r="I1068" s="3"/>
      <c r="J1068" s="3"/>
    </row>
    <row r="1069" spans="2:10" x14ac:dyDescent="0.25">
      <c r="B1069" s="3"/>
      <c r="C1069" s="3"/>
      <c r="D1069" s="3"/>
      <c r="E1069" s="3"/>
      <c r="F1069" s="3"/>
      <c r="G1069" s="3"/>
      <c r="H1069" s="3"/>
      <c r="I1069" s="3"/>
      <c r="J1069" s="3"/>
    </row>
    <row r="1070" spans="2:10" x14ac:dyDescent="0.25">
      <c r="B1070" s="3"/>
      <c r="C1070" s="3"/>
      <c r="D1070" s="3"/>
      <c r="E1070" s="3"/>
      <c r="F1070" s="3"/>
      <c r="G1070" s="3"/>
      <c r="H1070" s="3"/>
      <c r="I1070" s="3"/>
      <c r="J1070" s="3"/>
    </row>
    <row r="1071" spans="2:10" x14ac:dyDescent="0.25">
      <c r="B1071" s="3"/>
      <c r="C1071" s="3"/>
      <c r="D1071" s="3"/>
      <c r="E1071" s="3"/>
      <c r="F1071" s="3"/>
      <c r="G1071" s="3"/>
      <c r="H1071" s="3"/>
      <c r="I1071" s="3"/>
      <c r="J1071" s="3"/>
    </row>
    <row r="1072" spans="2:10" x14ac:dyDescent="0.25">
      <c r="B1072" s="3"/>
      <c r="C1072" s="3"/>
      <c r="D1072" s="3"/>
      <c r="E1072" s="3"/>
      <c r="F1072" s="3"/>
      <c r="G1072" s="3"/>
      <c r="H1072" s="3"/>
      <c r="I1072" s="3"/>
      <c r="J1072" s="3"/>
    </row>
    <row r="1073" spans="2:10" x14ac:dyDescent="0.25">
      <c r="B1073" s="3"/>
      <c r="C1073" s="3"/>
      <c r="D1073" s="3"/>
      <c r="E1073" s="3"/>
      <c r="F1073" s="3"/>
      <c r="G1073" s="3"/>
      <c r="H1073" s="3"/>
      <c r="I1073" s="3"/>
      <c r="J1073" s="3"/>
    </row>
    <row r="1074" spans="2:10" x14ac:dyDescent="0.25">
      <c r="B1074" s="3"/>
      <c r="C1074" s="3"/>
      <c r="D1074" s="3"/>
      <c r="E1074" s="3"/>
      <c r="F1074" s="3"/>
      <c r="G1074" s="3"/>
      <c r="H1074" s="3"/>
      <c r="I1074" s="3"/>
      <c r="J1074" s="3"/>
    </row>
    <row r="1075" spans="2:10" x14ac:dyDescent="0.25">
      <c r="B1075" s="3"/>
      <c r="C1075" s="3"/>
      <c r="D1075" s="3"/>
      <c r="E1075" s="3"/>
      <c r="F1075" s="3"/>
      <c r="G1075" s="3"/>
      <c r="H1075" s="3"/>
      <c r="I1075" s="3"/>
      <c r="J1075" s="3"/>
    </row>
    <row r="1076" spans="2:10" x14ac:dyDescent="0.25">
      <c r="B1076" s="3"/>
      <c r="C1076" s="3"/>
      <c r="D1076" s="3"/>
      <c r="E1076" s="3"/>
      <c r="F1076" s="3"/>
      <c r="G1076" s="3"/>
      <c r="H1076" s="3"/>
      <c r="I1076" s="3"/>
      <c r="J1076" s="3"/>
    </row>
    <row r="1077" spans="2:10" x14ac:dyDescent="0.25">
      <c r="B1077" s="3"/>
      <c r="C1077" s="3"/>
      <c r="D1077" s="3"/>
      <c r="E1077" s="3"/>
      <c r="F1077" s="3"/>
      <c r="G1077" s="3"/>
      <c r="H1077" s="3"/>
      <c r="I1077" s="3"/>
      <c r="J1077" s="3"/>
    </row>
    <row r="1078" spans="2:10" x14ac:dyDescent="0.25">
      <c r="B1078" s="3"/>
      <c r="C1078" s="3"/>
      <c r="D1078" s="3"/>
      <c r="E1078" s="3"/>
      <c r="F1078" s="3"/>
      <c r="G1078" s="3"/>
      <c r="H1078" s="3"/>
      <c r="I1078" s="3"/>
      <c r="J1078" s="3"/>
    </row>
    <row r="1079" spans="2:10" x14ac:dyDescent="0.25">
      <c r="B1079" s="3"/>
      <c r="C1079" s="3"/>
      <c r="D1079" s="3"/>
      <c r="E1079" s="3"/>
      <c r="F1079" s="3"/>
      <c r="G1079" s="3"/>
      <c r="H1079" s="3"/>
      <c r="I1079" s="3"/>
      <c r="J1079" s="3"/>
    </row>
    <row r="1080" spans="2:10" x14ac:dyDescent="0.25">
      <c r="B1080" s="3"/>
      <c r="C1080" s="3"/>
      <c r="D1080" s="3"/>
      <c r="E1080" s="3"/>
      <c r="F1080" s="3"/>
      <c r="G1080" s="3"/>
      <c r="H1080" s="3"/>
      <c r="I1080" s="3"/>
      <c r="J1080" s="3"/>
    </row>
    <row r="1081" spans="2:10" x14ac:dyDescent="0.25">
      <c r="B1081" s="3"/>
      <c r="C1081" s="3"/>
      <c r="D1081" s="3"/>
      <c r="E1081" s="3"/>
      <c r="F1081" s="3"/>
      <c r="G1081" s="3"/>
      <c r="H1081" s="3"/>
      <c r="I1081" s="3"/>
      <c r="J1081" s="3"/>
    </row>
    <row r="1082" spans="2:10" x14ac:dyDescent="0.25">
      <c r="B1082" s="3"/>
      <c r="C1082" s="3"/>
      <c r="D1082" s="3"/>
      <c r="E1082" s="3"/>
      <c r="F1082" s="3"/>
      <c r="G1082" s="3"/>
      <c r="H1082" s="3"/>
      <c r="I1082" s="3"/>
      <c r="J1082" s="3"/>
    </row>
    <row r="1083" spans="2:10" x14ac:dyDescent="0.25">
      <c r="B1083" s="3"/>
      <c r="C1083" s="3"/>
      <c r="D1083" s="3"/>
      <c r="E1083" s="3"/>
      <c r="F1083" s="3"/>
      <c r="G1083" s="3"/>
      <c r="H1083" s="3"/>
      <c r="I1083" s="3"/>
      <c r="J1083" s="3"/>
    </row>
    <row r="1084" spans="2:10" x14ac:dyDescent="0.25">
      <c r="B1084" s="3"/>
      <c r="C1084" s="3"/>
      <c r="D1084" s="3"/>
      <c r="E1084" s="3"/>
      <c r="F1084" s="3"/>
      <c r="G1084" s="3"/>
      <c r="H1084" s="3"/>
      <c r="I1084" s="3"/>
      <c r="J1084" s="3"/>
    </row>
    <row r="1085" spans="2:10" x14ac:dyDescent="0.25">
      <c r="B1085" s="3"/>
      <c r="C1085" s="3"/>
      <c r="D1085" s="3"/>
      <c r="E1085" s="3"/>
      <c r="F1085" s="3"/>
      <c r="G1085" s="3"/>
      <c r="H1085" s="3"/>
      <c r="I1085" s="3"/>
      <c r="J1085" s="3"/>
    </row>
    <row r="1086" spans="2:10" x14ac:dyDescent="0.25">
      <c r="B1086" s="3"/>
      <c r="C1086" s="3"/>
      <c r="D1086" s="3"/>
      <c r="E1086" s="3"/>
      <c r="F1086" s="3"/>
      <c r="G1086" s="3"/>
      <c r="H1086" s="3"/>
      <c r="I1086" s="3"/>
      <c r="J1086" s="3"/>
    </row>
    <row r="1087" spans="2:10" x14ac:dyDescent="0.25">
      <c r="B1087" s="3"/>
      <c r="C1087" s="3"/>
      <c r="D1087" s="3"/>
      <c r="E1087" s="3"/>
      <c r="F1087" s="3"/>
      <c r="G1087" s="3"/>
      <c r="H1087" s="3"/>
      <c r="I1087" s="3"/>
      <c r="J1087" s="3"/>
    </row>
    <row r="1088" spans="2:10" x14ac:dyDescent="0.25">
      <c r="B1088" s="3"/>
      <c r="C1088" s="3"/>
      <c r="D1088" s="3"/>
      <c r="E1088" s="3"/>
      <c r="F1088" s="3"/>
      <c r="G1088" s="3"/>
      <c r="H1088" s="3"/>
      <c r="I1088" s="3"/>
      <c r="J1088" s="3"/>
    </row>
    <row r="1089" spans="2:10" x14ac:dyDescent="0.25">
      <c r="B1089" s="3"/>
      <c r="C1089" s="3"/>
      <c r="D1089" s="3"/>
      <c r="E1089" s="3"/>
      <c r="F1089" s="3"/>
      <c r="G1089" s="3"/>
      <c r="H1089" s="3"/>
      <c r="I1089" s="3"/>
      <c r="J1089" s="3"/>
    </row>
    <row r="1090" spans="2:10" x14ac:dyDescent="0.25">
      <c r="B1090" s="3"/>
      <c r="C1090" s="3"/>
      <c r="D1090" s="3"/>
      <c r="E1090" s="3"/>
      <c r="F1090" s="3"/>
      <c r="G1090" s="3"/>
      <c r="H1090" s="3"/>
      <c r="I1090" s="3"/>
      <c r="J1090" s="3"/>
    </row>
    <row r="1091" spans="2:10" x14ac:dyDescent="0.25">
      <c r="B1091" s="3"/>
      <c r="C1091" s="3"/>
      <c r="D1091" s="3"/>
      <c r="E1091" s="3"/>
      <c r="F1091" s="3"/>
      <c r="G1091" s="3"/>
      <c r="H1091" s="3"/>
      <c r="I1091" s="3"/>
      <c r="J1091" s="3"/>
    </row>
    <row r="1092" spans="2:10" x14ac:dyDescent="0.25">
      <c r="B1092" s="3"/>
      <c r="C1092" s="3"/>
      <c r="D1092" s="3"/>
      <c r="E1092" s="3"/>
      <c r="F1092" s="3"/>
      <c r="G1092" s="3"/>
      <c r="H1092" s="3"/>
      <c r="I1092" s="3"/>
      <c r="J1092" s="3"/>
    </row>
    <row r="1093" spans="2:10" x14ac:dyDescent="0.25">
      <c r="B1093" s="3"/>
      <c r="C1093" s="3"/>
      <c r="D1093" s="3"/>
      <c r="E1093" s="3"/>
      <c r="F1093" s="3"/>
      <c r="G1093" s="3"/>
      <c r="H1093" s="3"/>
      <c r="I1093" s="3"/>
      <c r="J1093" s="3"/>
    </row>
    <row r="1094" spans="2:10" x14ac:dyDescent="0.25">
      <c r="B1094" s="3"/>
      <c r="C1094" s="3"/>
      <c r="D1094" s="3"/>
      <c r="E1094" s="3"/>
      <c r="F1094" s="3"/>
      <c r="G1094" s="3"/>
      <c r="H1094" s="3"/>
      <c r="I1094" s="3"/>
      <c r="J1094" s="3"/>
    </row>
    <row r="1095" spans="2:10" x14ac:dyDescent="0.25">
      <c r="B1095" s="3"/>
      <c r="C1095" s="3"/>
      <c r="D1095" s="3"/>
      <c r="E1095" s="3"/>
      <c r="F1095" s="3"/>
      <c r="G1095" s="3"/>
      <c r="H1095" s="3"/>
      <c r="I1095" s="3"/>
      <c r="J1095" s="3"/>
    </row>
    <row r="1096" spans="2:10" x14ac:dyDescent="0.25">
      <c r="B1096" s="3"/>
      <c r="C1096" s="3"/>
      <c r="D1096" s="3"/>
      <c r="E1096" s="3"/>
      <c r="F1096" s="3"/>
      <c r="G1096" s="3"/>
      <c r="H1096" s="3"/>
      <c r="I1096" s="3"/>
      <c r="J1096" s="3"/>
    </row>
    <row r="1097" spans="2:10" x14ac:dyDescent="0.25">
      <c r="B1097" s="3"/>
      <c r="C1097" s="3"/>
      <c r="D1097" s="3"/>
      <c r="E1097" s="3"/>
      <c r="F1097" s="3"/>
      <c r="G1097" s="3"/>
      <c r="H1097" s="3"/>
      <c r="I1097" s="3"/>
      <c r="J1097" s="3"/>
    </row>
    <row r="1098" spans="2:10" x14ac:dyDescent="0.25">
      <c r="B1098" s="3"/>
      <c r="C1098" s="3"/>
      <c r="D1098" s="3"/>
      <c r="E1098" s="3"/>
      <c r="F1098" s="3"/>
      <c r="G1098" s="3"/>
      <c r="H1098" s="3"/>
      <c r="I1098" s="3"/>
      <c r="J1098" s="3"/>
    </row>
    <row r="1099" spans="2:10" x14ac:dyDescent="0.25">
      <c r="B1099" s="3"/>
      <c r="C1099" s="3"/>
      <c r="D1099" s="3"/>
      <c r="E1099" s="3"/>
      <c r="F1099" s="3"/>
      <c r="G1099" s="3"/>
      <c r="H1099" s="3"/>
      <c r="I1099" s="3"/>
      <c r="J1099" s="3"/>
    </row>
    <row r="1100" spans="2:10" x14ac:dyDescent="0.25">
      <c r="B1100" s="3"/>
      <c r="C1100" s="3"/>
      <c r="D1100" s="3"/>
      <c r="E1100" s="3"/>
      <c r="F1100" s="3"/>
      <c r="G1100" s="3"/>
      <c r="H1100" s="3"/>
      <c r="I1100" s="3"/>
      <c r="J1100" s="3"/>
    </row>
    <row r="1101" spans="2:10" x14ac:dyDescent="0.25">
      <c r="B1101" s="3"/>
      <c r="C1101" s="3"/>
      <c r="D1101" s="3"/>
      <c r="E1101" s="3"/>
      <c r="F1101" s="3"/>
      <c r="G1101" s="3"/>
      <c r="H1101" s="3"/>
      <c r="I1101" s="3"/>
      <c r="J1101" s="3"/>
    </row>
    <row r="1102" spans="2:10" x14ac:dyDescent="0.25">
      <c r="B1102" s="3"/>
      <c r="C1102" s="3"/>
      <c r="D1102" s="3"/>
      <c r="E1102" s="3"/>
      <c r="F1102" s="3"/>
      <c r="G1102" s="3"/>
      <c r="H1102" s="3"/>
      <c r="I1102" s="3"/>
      <c r="J1102" s="3"/>
    </row>
    <row r="1103" spans="2:10" x14ac:dyDescent="0.25">
      <c r="B1103" s="3"/>
      <c r="C1103" s="3"/>
      <c r="D1103" s="3"/>
      <c r="E1103" s="3"/>
      <c r="F1103" s="3"/>
      <c r="G1103" s="3"/>
      <c r="H1103" s="3"/>
      <c r="I1103" s="3"/>
      <c r="J1103" s="3"/>
    </row>
    <row r="1104" spans="2:10" x14ac:dyDescent="0.25">
      <c r="B1104" s="3"/>
      <c r="C1104" s="3"/>
      <c r="D1104" s="3"/>
      <c r="E1104" s="3"/>
      <c r="F1104" s="3"/>
      <c r="G1104" s="3"/>
      <c r="H1104" s="3"/>
      <c r="I1104" s="3"/>
      <c r="J1104" s="3"/>
    </row>
    <row r="1105" spans="2:10" x14ac:dyDescent="0.25">
      <c r="B1105" s="3"/>
      <c r="C1105" s="3"/>
      <c r="D1105" s="3"/>
      <c r="E1105" s="3"/>
      <c r="F1105" s="3"/>
      <c r="G1105" s="3"/>
      <c r="H1105" s="3"/>
      <c r="I1105" s="3"/>
      <c r="J1105" s="3"/>
    </row>
    <row r="1106" spans="2:10" x14ac:dyDescent="0.25">
      <c r="B1106" s="3"/>
      <c r="C1106" s="3"/>
      <c r="D1106" s="3"/>
      <c r="E1106" s="3"/>
      <c r="F1106" s="3"/>
      <c r="G1106" s="3"/>
      <c r="H1106" s="3"/>
      <c r="I1106" s="3"/>
      <c r="J1106" s="3"/>
    </row>
    <row r="1107" spans="2:10" x14ac:dyDescent="0.25">
      <c r="B1107" s="3"/>
      <c r="C1107" s="3"/>
      <c r="D1107" s="3"/>
      <c r="E1107" s="3"/>
      <c r="F1107" s="3"/>
      <c r="G1107" s="3"/>
      <c r="H1107" s="3"/>
      <c r="I1107" s="3"/>
      <c r="J1107" s="3"/>
    </row>
    <row r="1108" spans="2:10" x14ac:dyDescent="0.25">
      <c r="B1108" s="3"/>
      <c r="C1108" s="3"/>
      <c r="D1108" s="3"/>
      <c r="E1108" s="3"/>
      <c r="F1108" s="3"/>
      <c r="G1108" s="3"/>
      <c r="H1108" s="3"/>
      <c r="I1108" s="3"/>
      <c r="J1108" s="3"/>
    </row>
    <row r="1109" spans="2:10" x14ac:dyDescent="0.25">
      <c r="B1109" s="3"/>
      <c r="C1109" s="3"/>
      <c r="D1109" s="3"/>
      <c r="E1109" s="3"/>
      <c r="F1109" s="3"/>
      <c r="G1109" s="3"/>
      <c r="H1109" s="3"/>
      <c r="I1109" s="3"/>
      <c r="J1109" s="3"/>
    </row>
    <row r="1110" spans="2:10" x14ac:dyDescent="0.25">
      <c r="B1110" s="3"/>
      <c r="C1110" s="3"/>
      <c r="D1110" s="3"/>
      <c r="E1110" s="3"/>
      <c r="F1110" s="3"/>
      <c r="G1110" s="3"/>
      <c r="H1110" s="3"/>
      <c r="I1110" s="3"/>
      <c r="J1110" s="3"/>
    </row>
    <row r="1111" spans="2:10" x14ac:dyDescent="0.25">
      <c r="B1111" s="3"/>
      <c r="C1111" s="3"/>
      <c r="D1111" s="3"/>
      <c r="E1111" s="3"/>
      <c r="F1111" s="3"/>
      <c r="G1111" s="3"/>
      <c r="H1111" s="3"/>
      <c r="I1111" s="3"/>
      <c r="J1111" s="3"/>
    </row>
  </sheetData>
  <mergeCells count="7">
    <mergeCell ref="A1:O1"/>
    <mergeCell ref="C612:O612"/>
    <mergeCell ref="C613:O613"/>
    <mergeCell ref="C614:O614"/>
    <mergeCell ref="K2:L2"/>
    <mergeCell ref="M2:N2"/>
    <mergeCell ref="A2:A3"/>
  </mergeCells>
  <phoneticPr fontId="0" type="noConversion"/>
  <hyperlinks>
    <hyperlink ref="B617" r:id="rId1"/>
  </hyperlinks>
  <printOptions horizontalCentered="1" gridLines="1"/>
  <pageMargins left="0.6" right="0.6" top="0.6" bottom="0.6" header="0.3" footer="0.3"/>
  <pageSetup scale="78" fitToHeight="999" orientation="portrait" horizontalDpi="1200" verticalDpi="1200" r:id="rId2"/>
  <headerFooter>
    <oddFooter>&amp;R&amp;"Tahoma,Regular"&amp;10Page &amp;P of &amp;N</oddFooter>
  </headerFooter>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B10"/>
  <sheetViews>
    <sheetView workbookViewId="0">
      <pane ySplit="2" topLeftCell="A3" activePane="bottomLeft" state="frozen"/>
      <selection pane="bottomLeft" activeCell="E7" sqref="E7"/>
    </sheetView>
  </sheetViews>
  <sheetFormatPr defaultColWidth="8.85546875" defaultRowHeight="14.25" x14ac:dyDescent="0.25"/>
  <cols>
    <col min="1" max="1" width="6.85546875" style="1" customWidth="1"/>
    <col min="2" max="2" width="46.140625" style="1" customWidth="1"/>
    <col min="3" max="16384" width="8.85546875" style="1"/>
  </cols>
  <sheetData>
    <row r="1" spans="1:2" ht="23.45" customHeight="1" x14ac:dyDescent="0.3">
      <c r="A1" s="29" t="s">
        <v>10</v>
      </c>
      <c r="B1" s="29"/>
    </row>
    <row r="2" spans="1:2" ht="9.6" customHeight="1" x14ac:dyDescent="0.3">
      <c r="A2" s="9"/>
      <c r="B2" s="9"/>
    </row>
    <row r="3" spans="1:2" ht="28.5" customHeight="1" x14ac:dyDescent="0.25">
      <c r="A3" s="11" t="s">
        <v>0</v>
      </c>
      <c r="B3" s="30" t="s">
        <v>16</v>
      </c>
    </row>
    <row r="4" spans="1:2" ht="28.5" customHeight="1" x14ac:dyDescent="0.25">
      <c r="A4" s="11" t="s">
        <v>1</v>
      </c>
      <c r="B4" s="30"/>
    </row>
    <row r="5" spans="1:2" ht="28.5" customHeight="1" x14ac:dyDescent="0.25">
      <c r="A5" s="11" t="s">
        <v>2</v>
      </c>
      <c r="B5" s="30"/>
    </row>
    <row r="6" spans="1:2" ht="14.45" x14ac:dyDescent="0.3">
      <c r="A6" s="11"/>
      <c r="B6" s="9"/>
    </row>
    <row r="7" spans="1:2" ht="42" customHeight="1" x14ac:dyDescent="0.25">
      <c r="A7" s="11" t="s">
        <v>3</v>
      </c>
      <c r="B7" s="30" t="s">
        <v>12</v>
      </c>
    </row>
    <row r="8" spans="1:2" ht="42" customHeight="1" x14ac:dyDescent="0.25">
      <c r="A8" s="11" t="s">
        <v>11</v>
      </c>
      <c r="B8" s="30"/>
    </row>
    <row r="9" spans="1:2" ht="7.7" customHeight="1" x14ac:dyDescent="0.25">
      <c r="A9" s="9"/>
      <c r="B9" s="9"/>
    </row>
    <row r="10" spans="1:2" ht="76.7" customHeight="1" x14ac:dyDescent="0.25">
      <c r="A10" s="9"/>
      <c r="B10" s="10" t="s">
        <v>13</v>
      </c>
    </row>
  </sheetData>
  <mergeCells count="3">
    <mergeCell ref="A1:B1"/>
    <mergeCell ref="B3:B5"/>
    <mergeCell ref="B7:B8"/>
  </mergeCells>
  <phoneticPr fontId="7" type="noConversion"/>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vt:i4>
      </vt:variant>
      <vt:variant>
        <vt:lpstr>Charts</vt:lpstr>
      </vt:variant>
      <vt:variant>
        <vt:i4>1</vt:i4>
      </vt:variant>
      <vt:variant>
        <vt:lpstr>Named Ranges</vt:lpstr>
      </vt:variant>
      <vt:variant>
        <vt:i4>1</vt:i4>
      </vt:variant>
    </vt:vector>
  </HeadingPairs>
  <TitlesOfParts>
    <vt:vector size="4" baseType="lpstr">
      <vt:lpstr>Report</vt:lpstr>
      <vt:lpstr>Glossary</vt:lpstr>
      <vt:lpstr>Chart</vt:lpstr>
      <vt:lpstr>Report!Print_Titles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John Graeflin</dc:creator>
  <cp:lastModifiedBy>Dennis Doby</cp:lastModifiedBy>
  <cp:lastPrinted>2017-12-19T16:27:27Z</cp:lastPrinted>
  <dcterms:created xsi:type="dcterms:W3CDTF">2010-06-22T15:52:38Z</dcterms:created>
  <dcterms:modified xsi:type="dcterms:W3CDTF">2020-10-16T15:47:07Z</dcterms:modified>
</cp:coreProperties>
</file>