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G:\Shared drives\EO_ECONOMIC ANALYSIS\ea_common\Projects\UI\UI Webupdates\UI_Weekly\"/>
    </mc:Choice>
  </mc:AlternateContent>
  <xr:revisionPtr revIDLastSave="0" documentId="13_ncr:1_{D52DDEF4-043A-4246-B23B-094F1DAE1F87}" xr6:coauthVersionLast="47" xr6:coauthVersionMax="47" xr10:uidLastSave="{00000000-0000-0000-0000-000000000000}"/>
  <bookViews>
    <workbookView xWindow="-120" yWindow="-120" windowWidth="25440" windowHeight="15390" xr2:uid="{00000000-000D-0000-FFFF-FFFF0000000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84" i="7" l="1"/>
  <c r="C784" i="7"/>
  <c r="B784" i="7" s="1"/>
  <c r="K784" i="7" s="1"/>
  <c r="M784" i="7" s="1"/>
  <c r="O783" i="7"/>
  <c r="C783" i="7"/>
  <c r="B783" i="7" s="1"/>
  <c r="O782" i="7"/>
  <c r="C782" i="7"/>
  <c r="B782" i="7" s="1"/>
  <c r="O781" i="7"/>
  <c r="C781" i="7"/>
  <c r="B781" i="7"/>
  <c r="O780" i="7"/>
  <c r="C780" i="7"/>
  <c r="B780" i="7" s="1"/>
  <c r="O779" i="7"/>
  <c r="C779" i="7"/>
  <c r="B779" i="7" s="1"/>
  <c r="O778" i="7"/>
  <c r="C778" i="7"/>
  <c r="B778" i="7" s="1"/>
  <c r="O777" i="7"/>
  <c r="C777" i="7"/>
  <c r="O776" i="7"/>
  <c r="C776" i="7"/>
  <c r="B776" i="7" s="1"/>
  <c r="O775" i="7"/>
  <c r="C775" i="7"/>
  <c r="B775" i="7" s="1"/>
  <c r="O774" i="7"/>
  <c r="C774" i="7"/>
  <c r="B774" i="7" s="1"/>
  <c r="O773" i="7"/>
  <c r="C773" i="7"/>
  <c r="B773" i="7" s="1"/>
  <c r="O772" i="7"/>
  <c r="C772" i="7"/>
  <c r="O771" i="7"/>
  <c r="C771" i="7"/>
  <c r="B771" i="7" s="1"/>
  <c r="O770" i="7"/>
  <c r="C770" i="7"/>
  <c r="B770" i="7" s="1"/>
  <c r="O769" i="7"/>
  <c r="C769" i="7"/>
  <c r="B769" i="7" s="1"/>
  <c r="O768" i="7"/>
  <c r="C768" i="7"/>
  <c r="O767" i="7"/>
  <c r="C767" i="7"/>
  <c r="B767" i="7" s="1"/>
  <c r="O766" i="7"/>
  <c r="C766" i="7"/>
  <c r="B766" i="7" s="1"/>
  <c r="O765" i="7"/>
  <c r="C765" i="7"/>
  <c r="B765" i="7" s="1"/>
  <c r="O764" i="7"/>
  <c r="C764" i="7"/>
  <c r="B764" i="7" s="1"/>
  <c r="O763" i="7"/>
  <c r="C763" i="7"/>
  <c r="B763" i="7" s="1"/>
  <c r="O762" i="7"/>
  <c r="C762" i="7"/>
  <c r="B762" i="7" s="1"/>
  <c r="O761" i="7"/>
  <c r="C761" i="7"/>
  <c r="O760" i="7"/>
  <c r="C760" i="7"/>
  <c r="B760" i="7" s="1"/>
  <c r="O759" i="7"/>
  <c r="C759" i="7"/>
  <c r="B759" i="7" s="1"/>
  <c r="O758" i="7"/>
  <c r="C758" i="7"/>
  <c r="B758" i="7" s="1"/>
  <c r="O757" i="7"/>
  <c r="C757" i="7"/>
  <c r="B757" i="7" s="1"/>
  <c r="O756" i="7"/>
  <c r="C756" i="7"/>
  <c r="B756" i="7" s="1"/>
  <c r="O755" i="7"/>
  <c r="C755" i="7"/>
  <c r="B755" i="7" s="1"/>
  <c r="O754" i="7"/>
  <c r="C754" i="7"/>
  <c r="B754" i="7" s="1"/>
  <c r="O753" i="7"/>
  <c r="C753" i="7"/>
  <c r="O752" i="7"/>
  <c r="C752" i="7"/>
  <c r="O751" i="7"/>
  <c r="C751" i="7"/>
  <c r="B751" i="7" s="1"/>
  <c r="C750" i="7"/>
  <c r="B750" i="7" s="1"/>
  <c r="O750" i="7"/>
  <c r="O749" i="7"/>
  <c r="C749" i="7"/>
  <c r="B749" i="7" s="1"/>
  <c r="O748" i="7"/>
  <c r="C748" i="7"/>
  <c r="O747" i="7"/>
  <c r="C747" i="7"/>
  <c r="O746" i="7"/>
  <c r="C746" i="7"/>
  <c r="B746" i="7" s="1"/>
  <c r="O745" i="7"/>
  <c r="C745" i="7"/>
  <c r="B745" i="7" s="1"/>
  <c r="O744" i="7"/>
  <c r="C744" i="7"/>
  <c r="O743" i="7"/>
  <c r="C743" i="7"/>
  <c r="B743" i="7" s="1"/>
  <c r="O742" i="7"/>
  <c r="C742" i="7"/>
  <c r="B742" i="7" s="1"/>
  <c r="O741" i="7"/>
  <c r="C741" i="7"/>
  <c r="B741" i="7" s="1"/>
  <c r="O740" i="7"/>
  <c r="C740" i="7"/>
  <c r="O739" i="7"/>
  <c r="C739" i="7"/>
  <c r="O738" i="7"/>
  <c r="C738" i="7"/>
  <c r="B738" i="7" s="1"/>
  <c r="O737" i="7"/>
  <c r="C737" i="7"/>
  <c r="B737" i="7" s="1"/>
  <c r="O736" i="7"/>
  <c r="C736" i="7"/>
  <c r="B736" i="7" s="1"/>
  <c r="O735" i="7"/>
  <c r="C735" i="7"/>
  <c r="B735" i="7" s="1"/>
  <c r="O734" i="7"/>
  <c r="C734" i="7"/>
  <c r="B734" i="7" s="1"/>
  <c r="O733" i="7"/>
  <c r="C733" i="7"/>
  <c r="B733" i="7" s="1"/>
  <c r="O732" i="7"/>
  <c r="C732" i="7"/>
  <c r="B732" i="7" s="1"/>
  <c r="O731" i="7"/>
  <c r="C731" i="7"/>
  <c r="B731" i="7" s="1"/>
  <c r="O730" i="7"/>
  <c r="C730" i="7"/>
  <c r="B730" i="7" s="1"/>
  <c r="O729" i="7"/>
  <c r="C729" i="7"/>
  <c r="B729" i="7" s="1"/>
  <c r="O728" i="7"/>
  <c r="C728" i="7"/>
  <c r="B728" i="7" s="1"/>
  <c r="L784" i="7" l="1"/>
  <c r="N784" i="7" s="1"/>
  <c r="K782" i="7"/>
  <c r="M782" i="7" s="1"/>
  <c r="K783" i="7"/>
  <c r="M783" i="7" s="1"/>
  <c r="L783" i="7"/>
  <c r="N783" i="7" s="1"/>
  <c r="L782" i="7"/>
  <c r="N782" i="7" s="1"/>
  <c r="K780" i="7"/>
  <c r="M780" i="7" s="1"/>
  <c r="K781" i="7"/>
  <c r="M781" i="7" s="1"/>
  <c r="L781" i="7"/>
  <c r="N781" i="7" s="1"/>
  <c r="L780" i="7"/>
  <c r="N780" i="7" s="1"/>
  <c r="B777" i="7"/>
  <c r="B772" i="7"/>
  <c r="B768" i="7"/>
  <c r="B761" i="7"/>
  <c r="B753" i="7"/>
  <c r="B752" i="7"/>
  <c r="B748" i="7"/>
  <c r="B747" i="7"/>
  <c r="B744" i="7"/>
  <c r="B740" i="7"/>
  <c r="B739" i="7"/>
  <c r="O727" i="7"/>
  <c r="C727" i="7"/>
  <c r="B727" i="7" s="1"/>
  <c r="K779" i="7" s="1"/>
  <c r="M779" i="7" s="1"/>
  <c r="L779" i="7" l="1"/>
  <c r="N779" i="7" s="1"/>
  <c r="O726" i="7"/>
  <c r="C726" i="7"/>
  <c r="B726" i="7" l="1"/>
  <c r="K778" i="7" s="1"/>
  <c r="M778" i="7" s="1"/>
  <c r="L778" i="7"/>
  <c r="N778" i="7" s="1"/>
  <c r="O725" i="7"/>
  <c r="C725" i="7"/>
  <c r="B725" i="7" l="1"/>
  <c r="K777" i="7" s="1"/>
  <c r="M777" i="7" s="1"/>
  <c r="L777" i="7"/>
  <c r="N777" i="7" s="1"/>
  <c r="O724" i="7"/>
  <c r="C724" i="7"/>
  <c r="B724" i="7" l="1"/>
  <c r="K776" i="7" s="1"/>
  <c r="M776" i="7" s="1"/>
  <c r="L776" i="7"/>
  <c r="N776" i="7" s="1"/>
  <c r="O723" i="7"/>
  <c r="C723" i="7"/>
  <c r="B723" i="7" l="1"/>
  <c r="K775" i="7" s="1"/>
  <c r="M775" i="7" s="1"/>
  <c r="L775" i="7"/>
  <c r="N775" i="7" s="1"/>
  <c r="O722" i="7"/>
  <c r="C722" i="7"/>
  <c r="B722" i="7" l="1"/>
  <c r="K774" i="7" s="1"/>
  <c r="M774" i="7" s="1"/>
  <c r="L774" i="7"/>
  <c r="N774" i="7" s="1"/>
  <c r="O721" i="7"/>
  <c r="C721" i="7"/>
  <c r="L773" i="7" s="1"/>
  <c r="N773" i="7" s="1"/>
  <c r="B721" i="7" l="1"/>
  <c r="K773" i="7" s="1"/>
  <c r="M773" i="7" s="1"/>
  <c r="O720" i="7" l="1"/>
  <c r="C720" i="7"/>
  <c r="B720" i="7" l="1"/>
  <c r="K772" i="7" s="1"/>
  <c r="M772" i="7" s="1"/>
  <c r="L772" i="7"/>
  <c r="N772" i="7" s="1"/>
  <c r="O719" i="7"/>
  <c r="C719" i="7"/>
  <c r="B719" i="7" l="1"/>
  <c r="K771" i="7" s="1"/>
  <c r="M771" i="7" s="1"/>
  <c r="L771" i="7"/>
  <c r="N771" i="7" s="1"/>
  <c r="O718" i="7"/>
  <c r="C718" i="7"/>
  <c r="B718" i="7" l="1"/>
  <c r="K770" i="7" s="1"/>
  <c r="M770" i="7" s="1"/>
  <c r="L770" i="7"/>
  <c r="N770" i="7" s="1"/>
  <c r="O717" i="7"/>
  <c r="C717" i="7"/>
  <c r="B717" i="7" l="1"/>
  <c r="K769" i="7" s="1"/>
  <c r="M769" i="7" s="1"/>
  <c r="L769" i="7"/>
  <c r="N769" i="7" s="1"/>
  <c r="O716" i="7"/>
  <c r="C716" i="7"/>
  <c r="B716" i="7" l="1"/>
  <c r="K768" i="7" s="1"/>
  <c r="M768" i="7" s="1"/>
  <c r="L768" i="7"/>
  <c r="N768" i="7" s="1"/>
  <c r="C710" i="7"/>
  <c r="B710" i="7" l="1"/>
  <c r="K762" i="7" s="1"/>
  <c r="M762" i="7" s="1"/>
  <c r="L762" i="7"/>
  <c r="N762" i="7" s="1"/>
  <c r="O715" i="7"/>
  <c r="C715" i="7"/>
  <c r="L767" i="7" s="1"/>
  <c r="N767" i="7" s="1"/>
  <c r="B715" i="7" l="1"/>
  <c r="K767" i="7" s="1"/>
  <c r="M767" i="7" s="1"/>
  <c r="O714" i="7"/>
  <c r="C714" i="7"/>
  <c r="L766" i="7" s="1"/>
  <c r="N766" i="7" s="1"/>
  <c r="B714" i="7" l="1"/>
  <c r="K766" i="7" s="1"/>
  <c r="M766" i="7" s="1"/>
  <c r="O713" i="7"/>
  <c r="C713" i="7"/>
  <c r="O712" i="7"/>
  <c r="C712" i="7"/>
  <c r="L764" i="7" s="1"/>
  <c r="N764" i="7" s="1"/>
  <c r="B713" i="7" l="1"/>
  <c r="K765" i="7" s="1"/>
  <c r="M765" i="7" s="1"/>
  <c r="L765" i="7"/>
  <c r="N765" i="7" s="1"/>
  <c r="B712" i="7"/>
  <c r="K764" i="7" s="1"/>
  <c r="M764" i="7" s="1"/>
  <c r="O711" i="7"/>
  <c r="C711" i="7"/>
  <c r="B711" i="7" l="1"/>
  <c r="K763" i="7" s="1"/>
  <c r="M763" i="7" s="1"/>
  <c r="L763" i="7"/>
  <c r="N763" i="7" s="1"/>
  <c r="O710" i="7"/>
  <c r="O709" i="7" l="1"/>
  <c r="C709" i="7"/>
  <c r="B709" i="7" l="1"/>
  <c r="K761" i="7" s="1"/>
  <c r="M761" i="7" s="1"/>
  <c r="L761" i="7"/>
  <c r="N761" i="7" s="1"/>
  <c r="O708" i="7"/>
  <c r="C708" i="7"/>
  <c r="B708" i="7" l="1"/>
  <c r="K760" i="7" s="1"/>
  <c r="M760" i="7" s="1"/>
  <c r="L760" i="7"/>
  <c r="N760" i="7" s="1"/>
  <c r="C707" i="7"/>
  <c r="O707" i="7"/>
  <c r="B707" i="7" l="1"/>
  <c r="K759" i="7" s="1"/>
  <c r="M759" i="7" s="1"/>
  <c r="L759" i="7"/>
  <c r="N759" i="7" s="1"/>
  <c r="O706" i="7"/>
  <c r="C706" i="7"/>
  <c r="B706" i="7" l="1"/>
  <c r="K758" i="7" s="1"/>
  <c r="M758" i="7" s="1"/>
  <c r="L758" i="7"/>
  <c r="N758" i="7" s="1"/>
  <c r="O705" i="7"/>
  <c r="C705" i="7"/>
  <c r="B705" i="7" l="1"/>
  <c r="K757" i="7" s="1"/>
  <c r="M757" i="7" s="1"/>
  <c r="L757" i="7"/>
  <c r="N757" i="7" s="1"/>
  <c r="C704" i="7"/>
  <c r="O704" i="7"/>
  <c r="B704" i="7" l="1"/>
  <c r="K756" i="7" s="1"/>
  <c r="M756" i="7" s="1"/>
  <c r="L756" i="7"/>
  <c r="N756" i="7" s="1"/>
  <c r="O703" i="7"/>
  <c r="C703" i="7"/>
  <c r="B703" i="7" l="1"/>
  <c r="K755" i="7" s="1"/>
  <c r="M755" i="7" s="1"/>
  <c r="L755" i="7"/>
  <c r="N755" i="7" s="1"/>
  <c r="O702" i="7"/>
  <c r="C702" i="7"/>
  <c r="B702" i="7" l="1"/>
  <c r="K754" i="7" s="1"/>
  <c r="M754" i="7" s="1"/>
  <c r="L754" i="7"/>
  <c r="N754" i="7" s="1"/>
  <c r="O701" i="7"/>
  <c r="C701" i="7"/>
  <c r="B701" i="7" l="1"/>
  <c r="K753" i="7" s="1"/>
  <c r="M753" i="7" s="1"/>
  <c r="L753" i="7"/>
  <c r="N753" i="7" s="1"/>
  <c r="O700" i="7"/>
  <c r="C700" i="7"/>
  <c r="B700" i="7" l="1"/>
  <c r="K752" i="7" s="1"/>
  <c r="M752" i="7" s="1"/>
  <c r="L752" i="7"/>
  <c r="N752" i="7" s="1"/>
  <c r="O699" i="7"/>
  <c r="C699" i="7"/>
  <c r="B699" i="7" l="1"/>
  <c r="K751" i="7" s="1"/>
  <c r="M751" i="7" s="1"/>
  <c r="L751" i="7"/>
  <c r="N751" i="7" s="1"/>
  <c r="O698" i="7"/>
  <c r="C698" i="7" l="1"/>
  <c r="B698" i="7" l="1"/>
  <c r="K750" i="7" s="1"/>
  <c r="M750" i="7" s="1"/>
  <c r="L750" i="7"/>
  <c r="N750" i="7" s="1"/>
  <c r="O697" i="7"/>
  <c r="C697" i="7"/>
  <c r="B697" i="7" l="1"/>
  <c r="K749" i="7" s="1"/>
  <c r="M749" i="7" s="1"/>
  <c r="L749" i="7"/>
  <c r="N749" i="7" s="1"/>
  <c r="O696" i="7"/>
  <c r="C696" i="7"/>
  <c r="B696" i="7" l="1"/>
  <c r="K748" i="7" s="1"/>
  <c r="M748" i="7" s="1"/>
  <c r="L748" i="7"/>
  <c r="N748" i="7" s="1"/>
  <c r="O695" i="7"/>
  <c r="C695" i="7"/>
  <c r="B695" i="7" l="1"/>
  <c r="K747" i="7" s="1"/>
  <c r="M747" i="7" s="1"/>
  <c r="L747" i="7"/>
  <c r="N747" i="7" s="1"/>
  <c r="O694" i="7"/>
  <c r="C694" i="7"/>
  <c r="L746" i="7" s="1"/>
  <c r="N746" i="7" s="1"/>
  <c r="B694" i="7" l="1"/>
  <c r="K746" i="7" s="1"/>
  <c r="M746" i="7" s="1"/>
  <c r="O693" i="7"/>
  <c r="C693" i="7"/>
  <c r="B693" i="7" l="1"/>
  <c r="K745" i="7" s="1"/>
  <c r="M745" i="7" s="1"/>
  <c r="L745" i="7"/>
  <c r="N745" i="7" s="1"/>
  <c r="O692" i="7"/>
  <c r="C692" i="7"/>
  <c r="B692" i="7" l="1"/>
  <c r="K744" i="7" s="1"/>
  <c r="M744" i="7" s="1"/>
  <c r="L744" i="7"/>
  <c r="N744" i="7" s="1"/>
  <c r="O691" i="7"/>
  <c r="C691" i="7"/>
  <c r="B691" i="7" l="1"/>
  <c r="K743" i="7" s="1"/>
  <c r="M743" i="7" s="1"/>
  <c r="L743" i="7"/>
  <c r="N743" i="7" s="1"/>
  <c r="O690" i="7"/>
  <c r="C690" i="7"/>
  <c r="B690" i="7" l="1"/>
  <c r="K742" i="7" s="1"/>
  <c r="M742" i="7" s="1"/>
  <c r="L742" i="7"/>
  <c r="N742" i="7" s="1"/>
  <c r="O689" i="7"/>
  <c r="C689" i="7"/>
  <c r="B689" i="7" l="1"/>
  <c r="K741" i="7" s="1"/>
  <c r="M741" i="7" s="1"/>
  <c r="L741" i="7"/>
  <c r="N741" i="7" s="1"/>
  <c r="O688" i="7"/>
  <c r="C688" i="7"/>
  <c r="B688" i="7" l="1"/>
  <c r="K740" i="7" s="1"/>
  <c r="M740" i="7" s="1"/>
  <c r="L740" i="7"/>
  <c r="N740" i="7" s="1"/>
  <c r="O687" i="7"/>
  <c r="C687" i="7"/>
  <c r="B687" i="7" l="1"/>
  <c r="K739" i="7" s="1"/>
  <c r="M739" i="7" s="1"/>
  <c r="L739" i="7"/>
  <c r="N739" i="7" s="1"/>
  <c r="O686" i="7"/>
  <c r="C686" i="7"/>
  <c r="B686" i="7" l="1"/>
  <c r="K738" i="7" s="1"/>
  <c r="M738" i="7" s="1"/>
  <c r="L738" i="7"/>
  <c r="N738" i="7" s="1"/>
  <c r="O685" i="7"/>
  <c r="C685" i="7"/>
  <c r="L737" i="7" s="1"/>
  <c r="N737" i="7" s="1"/>
  <c r="B685" i="7" l="1"/>
  <c r="K737" i="7" s="1"/>
  <c r="M737" i="7" s="1"/>
  <c r="O684" i="7"/>
  <c r="C684" i="7"/>
  <c r="L736" i="7" s="1"/>
  <c r="N736" i="7" s="1"/>
  <c r="B684" i="7"/>
  <c r="K736" i="7" s="1"/>
  <c r="M736" i="7" s="1"/>
  <c r="O683" i="7" l="1"/>
  <c r="C683" i="7"/>
  <c r="L735" i="7" s="1"/>
  <c r="N735" i="7" s="1"/>
  <c r="B683" i="7"/>
  <c r="K735" i="7" s="1"/>
  <c r="M735" i="7" s="1"/>
  <c r="O682" i="7" l="1"/>
  <c r="C682" i="7"/>
  <c r="L734" i="7" s="1"/>
  <c r="N734" i="7" s="1"/>
  <c r="B682" i="7"/>
  <c r="K734" i="7" s="1"/>
  <c r="M734" i="7" s="1"/>
  <c r="O681" i="7" l="1"/>
  <c r="C681" i="7"/>
  <c r="L733" i="7" s="1"/>
  <c r="N733" i="7" s="1"/>
  <c r="B681" i="7"/>
  <c r="K733" i="7" s="1"/>
  <c r="M733" i="7" s="1"/>
  <c r="O680" i="7" l="1"/>
  <c r="C680" i="7"/>
  <c r="B680" i="7" l="1"/>
  <c r="K732" i="7" s="1"/>
  <c r="M732" i="7" s="1"/>
  <c r="L732" i="7"/>
  <c r="N732" i="7" s="1"/>
  <c r="O679" i="7"/>
  <c r="C679" i="7"/>
  <c r="B679" i="7" l="1"/>
  <c r="K731" i="7" s="1"/>
  <c r="M731" i="7" s="1"/>
  <c r="L731" i="7"/>
  <c r="N731" i="7" s="1"/>
  <c r="O678" i="7"/>
  <c r="C678" i="7"/>
  <c r="B678" i="7" l="1"/>
  <c r="K730" i="7" s="1"/>
  <c r="M730" i="7" s="1"/>
  <c r="L730" i="7"/>
  <c r="N730" i="7" s="1"/>
  <c r="O677" i="7"/>
  <c r="C677" i="7"/>
  <c r="L729" i="7" s="1"/>
  <c r="N729" i="7" s="1"/>
  <c r="B677" i="7" l="1"/>
  <c r="K729" i="7" s="1"/>
  <c r="M729" i="7" s="1"/>
  <c r="O676" i="7"/>
  <c r="C676" i="7"/>
  <c r="L728" i="7" s="1"/>
  <c r="N728" i="7" s="1"/>
  <c r="B676" i="7" l="1"/>
  <c r="K728" i="7" s="1"/>
  <c r="M728" i="7" s="1"/>
  <c r="O675" i="7"/>
  <c r="C675" i="7"/>
  <c r="L727" i="7" s="1"/>
  <c r="N727" i="7" s="1"/>
  <c r="B675" i="7" l="1"/>
  <c r="K727" i="7" s="1"/>
  <c r="M727" i="7" s="1"/>
  <c r="O674" i="7"/>
  <c r="C674" i="7"/>
  <c r="L726" i="7" s="1"/>
  <c r="N726" i="7" s="1"/>
  <c r="O673" i="7"/>
  <c r="C673" i="7"/>
  <c r="L725" i="7" s="1"/>
  <c r="N725" i="7" s="1"/>
  <c r="B674" i="7" l="1"/>
  <c r="K726" i="7" s="1"/>
  <c r="M726" i="7" s="1"/>
  <c r="B673" i="7"/>
  <c r="K725" i="7" s="1"/>
  <c r="M725" i="7" s="1"/>
  <c r="O672" i="7"/>
  <c r="C672" i="7"/>
  <c r="L724" i="7" s="1"/>
  <c r="N724" i="7" s="1"/>
  <c r="B672" i="7" l="1"/>
  <c r="K724" i="7" s="1"/>
  <c r="M724" i="7" s="1"/>
  <c r="O671" i="7"/>
  <c r="C671" i="7"/>
  <c r="L723" i="7" s="1"/>
  <c r="N723" i="7" s="1"/>
  <c r="B671" i="7"/>
  <c r="K723" i="7" s="1"/>
  <c r="M723" i="7" s="1"/>
  <c r="O670" i="7" l="1"/>
  <c r="C670" i="7"/>
  <c r="L722" i="7" s="1"/>
  <c r="N722" i="7" s="1"/>
  <c r="B670" i="7" l="1"/>
  <c r="K722" i="7" s="1"/>
  <c r="M722" i="7" s="1"/>
  <c r="O669" i="7"/>
  <c r="C669" i="7"/>
  <c r="B669" i="7" l="1"/>
  <c r="K721" i="7" s="1"/>
  <c r="M721" i="7" s="1"/>
  <c r="L721" i="7"/>
  <c r="N721" i="7" s="1"/>
  <c r="O668" i="7"/>
  <c r="C668" i="7"/>
  <c r="B668" i="7" l="1"/>
  <c r="K720" i="7" s="1"/>
  <c r="M720" i="7" s="1"/>
  <c r="L720" i="7"/>
  <c r="N720" i="7" s="1"/>
  <c r="O667" i="7"/>
  <c r="C667" i="7"/>
  <c r="B667" i="7" l="1"/>
  <c r="K719" i="7" s="1"/>
  <c r="M719" i="7" s="1"/>
  <c r="L719" i="7"/>
  <c r="N719" i="7" s="1"/>
  <c r="O666" i="7"/>
  <c r="C666" i="7"/>
  <c r="B666" i="7" l="1"/>
  <c r="K718" i="7" s="1"/>
  <c r="M718" i="7" s="1"/>
  <c r="L718" i="7"/>
  <c r="N718" i="7" s="1"/>
  <c r="O665" i="7"/>
  <c r="C665" i="7"/>
  <c r="L717" i="7" s="1"/>
  <c r="N717" i="7" s="1"/>
  <c r="B665" i="7"/>
  <c r="K717" i="7" s="1"/>
  <c r="M717" i="7" s="1"/>
  <c r="O664" i="7" l="1"/>
  <c r="C664" i="7" l="1"/>
  <c r="L716" i="7" s="1"/>
  <c r="N716" i="7" s="1"/>
  <c r="B664" i="7" l="1"/>
  <c r="K716" i="7" s="1"/>
  <c r="M716" i="7" s="1"/>
  <c r="O663" i="7"/>
  <c r="C663" i="7"/>
  <c r="L715" i="7" s="1"/>
  <c r="N715" i="7" s="1"/>
  <c r="B663" i="7" l="1"/>
  <c r="K715" i="7" s="1"/>
  <c r="M715" i="7" s="1"/>
  <c r="O662" i="7"/>
  <c r="C662" i="7"/>
  <c r="B662" i="7" l="1"/>
  <c r="K714" i="7" s="1"/>
  <c r="M714" i="7" s="1"/>
  <c r="L714" i="7"/>
  <c r="N714" i="7" s="1"/>
  <c r="O661" i="7"/>
  <c r="C661" i="7"/>
  <c r="L713" i="7" s="1"/>
  <c r="N713" i="7" s="1"/>
  <c r="B661" i="7" l="1"/>
  <c r="K713" i="7" s="1"/>
  <c r="M713" i="7" s="1"/>
  <c r="O660" i="7"/>
  <c r="C660" i="7"/>
  <c r="B660" i="7" l="1"/>
  <c r="K712" i="7" s="1"/>
  <c r="M712" i="7" s="1"/>
  <c r="L712" i="7"/>
  <c r="N712" i="7" s="1"/>
  <c r="O659" i="7"/>
  <c r="C659" i="7"/>
  <c r="L711" i="7" s="1"/>
  <c r="N711" i="7" s="1"/>
  <c r="B659" i="7" l="1"/>
  <c r="K711" i="7" s="1"/>
  <c r="M711" i="7" s="1"/>
  <c r="O658" i="7"/>
  <c r="C658" i="7"/>
  <c r="B658" i="7" l="1"/>
  <c r="K710" i="7" s="1"/>
  <c r="M710" i="7" s="1"/>
  <c r="L710" i="7"/>
  <c r="N710" i="7" s="1"/>
  <c r="O657" i="7"/>
  <c r="C657" i="7"/>
  <c r="B657" i="7" l="1"/>
  <c r="K709" i="7" s="1"/>
  <c r="M709" i="7" s="1"/>
  <c r="L709" i="7"/>
  <c r="N709" i="7" s="1"/>
  <c r="O656" i="7"/>
  <c r="C656" i="7"/>
  <c r="L708" i="7" s="1"/>
  <c r="N708" i="7" s="1"/>
  <c r="B656" i="7" l="1"/>
  <c r="K708" i="7" s="1"/>
  <c r="M708" i="7" s="1"/>
  <c r="O655" i="7"/>
  <c r="C655" i="7"/>
  <c r="L707" i="7" s="1"/>
  <c r="N707" i="7" s="1"/>
  <c r="B655" i="7" l="1"/>
  <c r="K707" i="7" s="1"/>
  <c r="M707" i="7" s="1"/>
  <c r="O654" i="7"/>
  <c r="C654" i="7"/>
  <c r="B654" i="7" l="1"/>
  <c r="K706" i="7" s="1"/>
  <c r="M706" i="7" s="1"/>
  <c r="L706" i="7"/>
  <c r="N706" i="7" s="1"/>
  <c r="O653" i="7"/>
  <c r="C653" i="7"/>
  <c r="L705" i="7" s="1"/>
  <c r="N705" i="7" s="1"/>
  <c r="B653" i="7" l="1"/>
  <c r="K705" i="7" s="1"/>
  <c r="M705" i="7" s="1"/>
  <c r="O652" i="7"/>
  <c r="C652" i="7"/>
  <c r="B652" i="7" l="1"/>
  <c r="K704" i="7" s="1"/>
  <c r="M704" i="7" s="1"/>
  <c r="L704" i="7"/>
  <c r="N704" i="7" s="1"/>
  <c r="O651" i="7"/>
  <c r="C651" i="7"/>
  <c r="L703" i="7" s="1"/>
  <c r="N703" i="7" s="1"/>
  <c r="B651" i="7" l="1"/>
  <c r="K703" i="7" s="1"/>
  <c r="M703" i="7" s="1"/>
  <c r="O650" i="7"/>
  <c r="C650" i="7"/>
  <c r="L702" i="7" s="1"/>
  <c r="N702" i="7" s="1"/>
  <c r="B650" i="7"/>
  <c r="K702" i="7" s="1"/>
  <c r="M702" i="7" s="1"/>
  <c r="O649" i="7" l="1"/>
  <c r="C649" i="7"/>
  <c r="B649" i="7" l="1"/>
  <c r="K701" i="7" s="1"/>
  <c r="M701" i="7" s="1"/>
  <c r="L701" i="7"/>
  <c r="N701" i="7" s="1"/>
  <c r="O648" i="7"/>
  <c r="C648" i="7"/>
  <c r="B648" i="7" l="1"/>
  <c r="K700" i="7" s="1"/>
  <c r="M700" i="7" s="1"/>
  <c r="L700" i="7"/>
  <c r="N700" i="7" s="1"/>
  <c r="O647" i="7"/>
  <c r="C647" i="7"/>
  <c r="L699" i="7" s="1"/>
  <c r="N699" i="7" s="1"/>
  <c r="B647" i="7" l="1"/>
  <c r="K699" i="7" s="1"/>
  <c r="M699" i="7" s="1"/>
  <c r="O646" i="7"/>
  <c r="C646" i="7"/>
  <c r="L698" i="7" s="1"/>
  <c r="N698" i="7" s="1"/>
  <c r="B646" i="7" l="1"/>
  <c r="K698" i="7" s="1"/>
  <c r="M698" i="7" s="1"/>
  <c r="O645" i="7"/>
  <c r="C645" i="7"/>
  <c r="L697" i="7" s="1"/>
  <c r="N697" i="7" s="1"/>
  <c r="B645" i="7" l="1"/>
  <c r="K697" i="7" s="1"/>
  <c r="M697" i="7" s="1"/>
  <c r="O644" i="7"/>
  <c r="C644" i="7"/>
  <c r="L696" i="7" s="1"/>
  <c r="N696" i="7" s="1"/>
  <c r="B644" i="7"/>
  <c r="K696" i="7" s="1"/>
  <c r="M696" i="7" s="1"/>
  <c r="O643" i="7" l="1"/>
  <c r="C643" i="7"/>
  <c r="L695" i="7" s="1"/>
  <c r="N695" i="7" s="1"/>
  <c r="B643" i="7"/>
  <c r="K695" i="7" s="1"/>
  <c r="M695" i="7" s="1"/>
  <c r="O642" i="7" l="1"/>
  <c r="C642" i="7"/>
  <c r="B642" i="7" l="1"/>
  <c r="K694" i="7" s="1"/>
  <c r="M694" i="7" s="1"/>
  <c r="L694" i="7"/>
  <c r="N694" i="7" s="1"/>
  <c r="O641" i="7"/>
  <c r="C641" i="7"/>
  <c r="L693" i="7" s="1"/>
  <c r="N693" i="7" s="1"/>
  <c r="B641" i="7" l="1"/>
  <c r="K693" i="7" s="1"/>
  <c r="M693" i="7" s="1"/>
  <c r="O640" i="7"/>
  <c r="C640" i="7"/>
  <c r="L692" i="7" s="1"/>
  <c r="N692" i="7" s="1"/>
  <c r="B640" i="7" l="1"/>
  <c r="K692" i="7" s="1"/>
  <c r="M692" i="7" s="1"/>
  <c r="O639" i="7"/>
  <c r="C639" i="7"/>
  <c r="L691" i="7" s="1"/>
  <c r="N691" i="7" s="1"/>
  <c r="B639" i="7" l="1"/>
  <c r="K691" i="7" s="1"/>
  <c r="M691" i="7" s="1"/>
  <c r="O638" i="7"/>
  <c r="C638" i="7"/>
  <c r="L690" i="7" s="1"/>
  <c r="N690" i="7" s="1"/>
  <c r="B638" i="7"/>
  <c r="K690" i="7" s="1"/>
  <c r="M690" i="7" s="1"/>
  <c r="O637" i="7" l="1"/>
  <c r="C637" i="7"/>
  <c r="L689" i="7" s="1"/>
  <c r="N689" i="7" s="1"/>
  <c r="B637" i="7"/>
  <c r="K689" i="7" s="1"/>
  <c r="M689" i="7" s="1"/>
  <c r="O636" i="7" l="1"/>
  <c r="C636" i="7"/>
  <c r="L688" i="7" s="1"/>
  <c r="N688" i="7" s="1"/>
  <c r="B636" i="7"/>
  <c r="K688" i="7" s="1"/>
  <c r="M688" i="7" s="1"/>
  <c r="O635" i="7" l="1"/>
  <c r="C635" i="7"/>
  <c r="L687" i="7" s="1"/>
  <c r="N687" i="7" s="1"/>
  <c r="B635" i="7"/>
  <c r="K687" i="7" s="1"/>
  <c r="M687" i="7" s="1"/>
  <c r="O634" i="7" l="1"/>
  <c r="C634" i="7"/>
  <c r="L686" i="7" s="1"/>
  <c r="N686" i="7" s="1"/>
  <c r="B634" i="7"/>
  <c r="K686" i="7" s="1"/>
  <c r="M686" i="7" s="1"/>
  <c r="O633" i="7" l="1"/>
  <c r="C633" i="7"/>
  <c r="B633" i="7" l="1"/>
  <c r="K685" i="7" s="1"/>
  <c r="M685" i="7" s="1"/>
  <c r="L685" i="7"/>
  <c r="N685" i="7" s="1"/>
  <c r="O632" i="7"/>
  <c r="C632" i="7"/>
  <c r="L684" i="7" s="1"/>
  <c r="N684" i="7" s="1"/>
  <c r="B632" i="7" l="1"/>
  <c r="K684" i="7" s="1"/>
  <c r="M684" i="7" s="1"/>
  <c r="C631" i="7"/>
  <c r="L683" i="7" s="1"/>
  <c r="N683" i="7" s="1"/>
  <c r="O631" i="7" l="1"/>
  <c r="B631" i="7"/>
  <c r="K683" i="7" s="1"/>
  <c r="M683" i="7" s="1"/>
  <c r="O630" i="7" l="1"/>
  <c r="C630" i="7"/>
  <c r="B630" i="7" l="1"/>
  <c r="K682" i="7" s="1"/>
  <c r="M682" i="7" s="1"/>
  <c r="L682" i="7"/>
  <c r="N682" i="7" s="1"/>
  <c r="O629" i="7"/>
  <c r="C629" i="7"/>
  <c r="L681" i="7" s="1"/>
  <c r="N681" i="7" s="1"/>
  <c r="B629" i="7" l="1"/>
  <c r="K681" i="7" s="1"/>
  <c r="M681" i="7" s="1"/>
  <c r="O628" i="7"/>
  <c r="C628" i="7"/>
  <c r="L680" i="7" s="1"/>
  <c r="N680" i="7" s="1"/>
  <c r="B628" i="7" l="1"/>
  <c r="K680" i="7" s="1"/>
  <c r="M680" i="7" s="1"/>
  <c r="O627" i="7"/>
  <c r="C627" i="7"/>
  <c r="B627" i="7" l="1"/>
  <c r="K679" i="7" s="1"/>
  <c r="M679" i="7" s="1"/>
  <c r="L679" i="7"/>
  <c r="N679" i="7" s="1"/>
  <c r="O626" i="7"/>
  <c r="C626" i="7"/>
  <c r="L678" i="7" s="1"/>
  <c r="N678" i="7" s="1"/>
  <c r="B626" i="7" l="1"/>
  <c r="K678" i="7" s="1"/>
  <c r="M678" i="7" s="1"/>
  <c r="O625" i="7"/>
  <c r="C625" i="7"/>
  <c r="L677" i="7" s="1"/>
  <c r="N677" i="7" s="1"/>
  <c r="B625" i="7" l="1"/>
  <c r="K677" i="7" s="1"/>
  <c r="M677" i="7" s="1"/>
  <c r="O624" i="7"/>
  <c r="C624" i="7"/>
  <c r="L676" i="7" s="1"/>
  <c r="N676" i="7" s="1"/>
  <c r="B624" i="7" l="1"/>
  <c r="K676" i="7" s="1"/>
  <c r="M676" i="7" s="1"/>
  <c r="O623" i="7"/>
  <c r="C623" i="7"/>
  <c r="L675" i="7" s="1"/>
  <c r="N675" i="7" s="1"/>
  <c r="B623" i="7" l="1"/>
  <c r="K675" i="7" s="1"/>
  <c r="M675" i="7" s="1"/>
  <c r="O622" i="7"/>
  <c r="C622" i="7"/>
  <c r="B622" i="7" l="1"/>
  <c r="K674" i="7" s="1"/>
  <c r="M674" i="7" s="1"/>
  <c r="L674" i="7"/>
  <c r="N674" i="7" s="1"/>
  <c r="O621" i="7"/>
  <c r="C621" i="7"/>
  <c r="L673" i="7" s="1"/>
  <c r="N673" i="7" s="1"/>
  <c r="B621" i="7" l="1"/>
  <c r="K673" i="7" s="1"/>
  <c r="M673" i="7" s="1"/>
  <c r="O620" i="7"/>
  <c r="C620" i="7"/>
  <c r="B620" i="7" l="1"/>
  <c r="K672" i="7" s="1"/>
  <c r="M672" i="7" s="1"/>
  <c r="L672" i="7"/>
  <c r="N672" i="7" s="1"/>
  <c r="O619" i="7"/>
  <c r="C619" i="7"/>
  <c r="L671" i="7" s="1"/>
  <c r="N671" i="7" s="1"/>
  <c r="B619" i="7" l="1"/>
  <c r="K671" i="7" s="1"/>
  <c r="M671" i="7" s="1"/>
  <c r="O618" i="7"/>
  <c r="C618" i="7"/>
  <c r="L670" i="7" s="1"/>
  <c r="N670" i="7" s="1"/>
  <c r="B618" i="7" l="1"/>
  <c r="K670" i="7" s="1"/>
  <c r="M670" i="7" s="1"/>
  <c r="O617" i="7"/>
  <c r="C617" i="7"/>
  <c r="B617" i="7" l="1"/>
  <c r="K669" i="7" s="1"/>
  <c r="M669" i="7" s="1"/>
  <c r="L669" i="7"/>
  <c r="N669" i="7" s="1"/>
  <c r="O616" i="7"/>
  <c r="C616" i="7"/>
  <c r="L668" i="7" s="1"/>
  <c r="N668" i="7" s="1"/>
  <c r="B616" i="7" l="1"/>
  <c r="K668" i="7" s="1"/>
  <c r="M668" i="7" s="1"/>
  <c r="O615" i="7"/>
  <c r="C615" i="7"/>
  <c r="L667" i="7" s="1"/>
  <c r="N667" i="7" s="1"/>
  <c r="B615" i="7" l="1"/>
  <c r="K667" i="7" s="1"/>
  <c r="M667" i="7" s="1"/>
  <c r="O614" i="7"/>
  <c r="C614" i="7"/>
  <c r="L666" i="7" s="1"/>
  <c r="N666" i="7" s="1"/>
  <c r="B614" i="7" l="1"/>
  <c r="K666" i="7" s="1"/>
  <c r="M666" i="7" s="1"/>
  <c r="O613" i="7"/>
  <c r="C613" i="7"/>
  <c r="L665" i="7" s="1"/>
  <c r="N665" i="7" s="1"/>
  <c r="B613" i="7" l="1"/>
  <c r="K665" i="7" s="1"/>
  <c r="M665" i="7" s="1"/>
  <c r="O612" i="7"/>
  <c r="C612" i="7"/>
  <c r="L664" i="7" s="1"/>
  <c r="N664" i="7" s="1"/>
  <c r="B612" i="7" l="1"/>
  <c r="K664" i="7" s="1"/>
  <c r="M664" i="7" s="1"/>
  <c r="O611" i="7"/>
  <c r="C611" i="7"/>
  <c r="L663" i="7" s="1"/>
  <c r="N663" i="7" s="1"/>
  <c r="B611" i="7" l="1"/>
  <c r="K663" i="7" s="1"/>
  <c r="M663" i="7" s="1"/>
  <c r="O610" i="7"/>
  <c r="C610" i="7"/>
  <c r="B610" i="7" l="1"/>
  <c r="K662" i="7" s="1"/>
  <c r="M662" i="7" s="1"/>
  <c r="L662" i="7"/>
  <c r="N662" i="7" s="1"/>
  <c r="O609" i="7"/>
  <c r="C609" i="7"/>
  <c r="L661" i="7" s="1"/>
  <c r="N661" i="7" s="1"/>
  <c r="B609" i="7" l="1"/>
  <c r="K661" i="7" s="1"/>
  <c r="M661" i="7" s="1"/>
  <c r="O608" i="7"/>
  <c r="C608" i="7"/>
  <c r="B608" i="7" l="1"/>
  <c r="L660" i="7"/>
  <c r="N660" i="7" s="1"/>
  <c r="O607" i="7"/>
  <c r="C607" i="7"/>
  <c r="B607" i="7" l="1"/>
  <c r="L659" i="7"/>
  <c r="N659" i="7" s="1"/>
  <c r="K660" i="7"/>
  <c r="M660" i="7" s="1"/>
  <c r="O606" i="7"/>
  <c r="C606" i="7"/>
  <c r="L658" i="7" s="1"/>
  <c r="N658" i="7" s="1"/>
  <c r="B606" i="7" l="1"/>
  <c r="K658" i="7" s="1"/>
  <c r="M658" i="7" s="1"/>
  <c r="K659" i="7"/>
  <c r="M659" i="7" s="1"/>
  <c r="O605" i="7"/>
  <c r="C605" i="7"/>
  <c r="B605" i="7" l="1"/>
  <c r="L657" i="7"/>
  <c r="N657" i="7" s="1"/>
  <c r="O604" i="7"/>
  <c r="C604" i="7"/>
  <c r="L656" i="7" s="1"/>
  <c r="N656" i="7" s="1"/>
  <c r="B604" i="7" l="1"/>
  <c r="K656" i="7" s="1"/>
  <c r="M656" i="7" s="1"/>
  <c r="K657" i="7"/>
  <c r="M657" i="7" s="1"/>
  <c r="O603" i="7"/>
  <c r="C603" i="7"/>
  <c r="L655" i="7" s="1"/>
  <c r="N655" i="7" s="1"/>
  <c r="B603" i="7" l="1"/>
  <c r="K655" i="7" s="1"/>
  <c r="M655" i="7" s="1"/>
  <c r="O602" i="7"/>
  <c r="C602" i="7"/>
  <c r="L654" i="7" l="1"/>
  <c r="N654" i="7" s="1"/>
  <c r="B602" i="7"/>
  <c r="O601" i="7"/>
  <c r="C601" i="7"/>
  <c r="L653" i="7" s="1"/>
  <c r="N653" i="7" s="1"/>
  <c r="B601" i="7" l="1"/>
  <c r="K653" i="7" s="1"/>
  <c r="M653" i="7" s="1"/>
  <c r="K654" i="7"/>
  <c r="M654" i="7" s="1"/>
  <c r="O600" i="7"/>
  <c r="C600" i="7"/>
  <c r="L652" i="7" s="1"/>
  <c r="N652" i="7" s="1"/>
  <c r="B600" i="7" l="1"/>
  <c r="K652" i="7" s="1"/>
  <c r="M652" i="7" s="1"/>
  <c r="O599" i="7"/>
  <c r="C599" i="7"/>
  <c r="B599" i="7" s="1"/>
  <c r="K651" i="7" l="1"/>
  <c r="M651" i="7" s="1"/>
  <c r="L651" i="7"/>
  <c r="N651" i="7" s="1"/>
  <c r="O598" i="7"/>
  <c r="C598" i="7"/>
  <c r="L650" i="7" s="1"/>
  <c r="N650" i="7" s="1"/>
  <c r="B598" i="7" l="1"/>
  <c r="K650" i="7" s="1"/>
  <c r="M650" i="7" s="1"/>
  <c r="O597" i="7"/>
  <c r="C597" i="7"/>
  <c r="B597" i="7" l="1"/>
  <c r="L649" i="7"/>
  <c r="N649" i="7" s="1"/>
  <c r="O596" i="7"/>
  <c r="C596" i="7"/>
  <c r="B596" i="7" s="1"/>
  <c r="K648" i="7" l="1"/>
  <c r="M648" i="7" s="1"/>
  <c r="L648" i="7"/>
  <c r="N648" i="7" s="1"/>
  <c r="K649" i="7"/>
  <c r="M649" i="7" s="1"/>
  <c r="O595" i="7"/>
  <c r="C595" i="7"/>
  <c r="B595" i="7" l="1"/>
  <c r="L647" i="7"/>
  <c r="N647" i="7" s="1"/>
  <c r="O594" i="7"/>
  <c r="C594" i="7"/>
  <c r="L646" i="7" s="1"/>
  <c r="N646" i="7" s="1"/>
  <c r="B594" i="7" l="1"/>
  <c r="K646" i="7" s="1"/>
  <c r="M646" i="7" s="1"/>
  <c r="K647" i="7"/>
  <c r="M647" i="7" s="1"/>
  <c r="O593" i="7"/>
  <c r="C593" i="7"/>
  <c r="B593" i="7" l="1"/>
  <c r="L645" i="7"/>
  <c r="N645" i="7" s="1"/>
  <c r="O592" i="7"/>
  <c r="C592" i="7"/>
  <c r="L644" i="7" s="1"/>
  <c r="N644" i="7" s="1"/>
  <c r="B592" i="7" l="1"/>
  <c r="K644" i="7" s="1"/>
  <c r="M644" i="7" s="1"/>
  <c r="K645" i="7"/>
  <c r="M645" i="7" s="1"/>
  <c r="O591" i="7"/>
  <c r="C591" i="7"/>
  <c r="B591" i="7" s="1"/>
  <c r="K643" i="7" l="1"/>
  <c r="M643" i="7" s="1"/>
  <c r="L643" i="7"/>
  <c r="N643" i="7" s="1"/>
  <c r="O590" i="7"/>
  <c r="C590" i="7"/>
  <c r="B590" i="7" l="1"/>
  <c r="L642" i="7"/>
  <c r="N642" i="7" s="1"/>
  <c r="O589" i="7"/>
  <c r="C589" i="7"/>
  <c r="B589" i="7" l="1"/>
  <c r="L641" i="7"/>
  <c r="N641" i="7" s="1"/>
  <c r="K642" i="7"/>
  <c r="M642" i="7" s="1"/>
  <c r="O588" i="7"/>
  <c r="C588" i="7"/>
  <c r="L640" i="7" s="1"/>
  <c r="N640" i="7" s="1"/>
  <c r="B588" i="7" l="1"/>
  <c r="K640" i="7" s="1"/>
  <c r="M640" i="7" s="1"/>
  <c r="K641" i="7"/>
  <c r="M641" i="7" s="1"/>
  <c r="O587" i="7"/>
  <c r="C587" i="7"/>
  <c r="L639" i="7" s="1"/>
  <c r="N639" i="7" s="1"/>
  <c r="B587" i="7" l="1"/>
  <c r="K639" i="7" s="1"/>
  <c r="M639" i="7" s="1"/>
  <c r="O586" i="7"/>
  <c r="C586" i="7"/>
  <c r="B586" i="7" s="1"/>
  <c r="L638" i="7" l="1"/>
  <c r="N638" i="7" s="1"/>
  <c r="K638" i="7"/>
  <c r="M638" i="7" s="1"/>
  <c r="O585" i="7"/>
  <c r="C585" i="7"/>
  <c r="L637" i="7" s="1"/>
  <c r="N637" i="7" s="1"/>
  <c r="B585" i="7" l="1"/>
  <c r="K637" i="7" s="1"/>
  <c r="M637" i="7" s="1"/>
  <c r="O584" i="7"/>
  <c r="C584" i="7"/>
  <c r="B584" i="7" l="1"/>
  <c r="L636" i="7"/>
  <c r="N636" i="7" s="1"/>
  <c r="C581" i="7"/>
  <c r="L633" i="7" s="1"/>
  <c r="N633" i="7" s="1"/>
  <c r="K636" i="7" l="1"/>
  <c r="M636" i="7" s="1"/>
  <c r="O583" i="7"/>
  <c r="C583" i="7"/>
  <c r="L635" i="7" s="1"/>
  <c r="N635" i="7" s="1"/>
  <c r="B583" i="7" l="1"/>
  <c r="K635" i="7" s="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l="1"/>
  <c r="K631" i="7" s="1"/>
  <c r="M631" i="7" s="1"/>
  <c r="O578" i="7"/>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l="1"/>
  <c r="K621" i="7" s="1"/>
  <c r="M621" i="7" s="1"/>
  <c r="O568" i="7"/>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s="1"/>
  <c r="L418" i="7"/>
  <c r="N418" i="7" s="1"/>
  <c r="L419" i="7"/>
  <c r="N419" i="7" s="1"/>
  <c r="L420" i="7"/>
  <c r="N420" i="7" s="1"/>
  <c r="L421" i="7"/>
  <c r="N421" i="7" s="1"/>
  <c r="L422" i="7"/>
  <c r="N422" i="7" s="1"/>
  <c r="L423" i="7"/>
  <c r="N423" i="7" s="1"/>
  <c r="L424" i="7"/>
  <c r="N424" i="7" s="1"/>
  <c r="L425" i="7"/>
  <c r="N425" i="7" s="1"/>
  <c r="L426" i="7"/>
  <c r="N426" i="7" s="1"/>
  <c r="L427" i="7"/>
  <c r="N427" i="7" s="1"/>
  <c r="L428" i="7"/>
  <c r="N428" i="7" s="1"/>
  <c r="L429" i="7"/>
  <c r="N429" i="7" s="1"/>
  <c r="L430" i="7"/>
  <c r="N430" i="7" s="1"/>
  <c r="L431" i="7"/>
  <c r="N431" i="7" s="1"/>
  <c r="L432" i="7"/>
  <c r="N432" i="7" s="1"/>
  <c r="L433" i="7"/>
  <c r="N433" i="7" s="1"/>
  <c r="L434" i="7"/>
  <c r="N434" i="7" s="1"/>
  <c r="L435" i="7"/>
  <c r="N435" i="7" s="1"/>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s="1"/>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l="1"/>
  <c r="K607" i="7" s="1"/>
  <c r="M607" i="7" s="1"/>
  <c r="O554" i="7"/>
  <c r="C554" i="7"/>
  <c r="L606" i="7" s="1"/>
  <c r="N606" i="7" s="1"/>
  <c r="B554" i="7" l="1"/>
  <c r="K606" i="7" s="1"/>
  <c r="M606" i="7" s="1"/>
  <c r="O553" i="7"/>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s="1"/>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s="1"/>
  <c r="K556" i="7" l="1"/>
  <c r="M556" i="7" s="1"/>
  <c r="K557" i="7"/>
  <c r="M557" i="7" s="1"/>
  <c r="K555" i="7"/>
  <c r="M555" i="7" s="1"/>
  <c r="L503" i="7"/>
  <c r="N503" i="7" s="1"/>
  <c r="L555" i="7"/>
  <c r="N555" i="7" s="1"/>
  <c r="O502" i="7"/>
  <c r="C502" i="7"/>
  <c r="B502" i="7" s="1"/>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John.Graeflin</author>
    <author>John Graeflin</author>
  </authors>
  <commentList>
    <comment ref="B96" authorId="0" shapeId="0" xr:uid="{00000000-0006-0000-0000-000001000000}">
      <text>
        <r>
          <rPr>
            <b/>
            <sz val="9"/>
            <color indexed="81"/>
            <rFont val="Tahoma"/>
            <family val="2"/>
          </rPr>
          <t>This week includes a holiday</t>
        </r>
      </text>
    </comment>
    <comment ref="B100" authorId="0" shapeId="0" xr:uid="{00000000-0006-0000-0000-000002000000}">
      <text>
        <r>
          <rPr>
            <b/>
            <sz val="9"/>
            <color indexed="81"/>
            <rFont val="Tahoma"/>
            <family val="2"/>
          </rPr>
          <t>This week includes a holiday</t>
        </r>
      </text>
    </comment>
    <comment ref="B101" authorId="0" shapeId="0" xr:uid="{00000000-0006-0000-0000-000003000000}">
      <text>
        <r>
          <rPr>
            <b/>
            <sz val="9"/>
            <color indexed="81"/>
            <rFont val="Tahoma"/>
            <family val="2"/>
          </rPr>
          <t>This week includes a holiday</t>
        </r>
      </text>
    </comment>
    <comment ref="A180" authorId="1" shapeId="0" xr:uid="{00000000-0006-0000-0000-000004000000}">
      <text>
        <r>
          <rPr>
            <sz val="9"/>
            <color indexed="81"/>
            <rFont val="Tahoma"/>
            <family val="2"/>
          </rPr>
          <t>A holiday week always has fewer claims.</t>
        </r>
      </text>
    </comment>
  </commentList>
</comments>
</file>

<file path=xl/sharedStrings.xml><?xml version="1.0" encoding="utf-8"?>
<sst xmlns="http://schemas.openxmlformats.org/spreadsheetml/2006/main" count="34" uniqueCount="26">
  <si>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</si>
  <si>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</si>
  <si>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</si>
  <si>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</si>
  <si>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</si>
  <si>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</si>
  <si>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</si>
  <si>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</si>
  <si>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</si>
  <si>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</si>
  <si>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</si>
  <si>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</si>
  <si>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</si>
  <si>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</si>
  <si>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</si>
  <si>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</si>
  <si>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</si>
  <si>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</si>
  <si>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</si>
  <si>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</si>
  <si>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</si>
  <si>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</si>
  <si>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</si>
  <si>
    <t>Effective 7/1/22 the maximum weekly benefit amount shall be $320</t>
  </si>
  <si>
    <t>Note:</t>
  </si>
  <si>
    <t>Effective 7/1/22 total amount of regular UI benefits run for 26 weeks if the seasonally adjusted unemployment rate in the prior quarter is 5% or higher and run for 24 weeks if the seasonally adjusted unemployment rate in the prior quarter is less than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</si>
</sst>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
  </numFmts>
  <fonts count="37"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sz val="11"/>
      <color rgb="FF000000"/>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Alignment="1">
      <alignment vertical="center"/>
    </xf>
    <xf numFmtId="3" fontId="25" fillId="0" borderId="0" xfId="0" applyNumberFormat="1" applyFont="1" applyAlignment="1">
      <alignment vertical="center"/>
    </xf>
    <xf numFmtId="164" fontId="25" fillId="0" borderId="0" xfId="0" applyNumberFormat="1" applyFont="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36" fillId="0" borderId="0" xfId="0" applyFont="1" applyAlignment="1">
      <alignment vertical="center" wrapText="1"/>
    </xf>
    <xf numFmtId="0" fontId="29" fillId="25" borderId="0" xfId="0" applyFont="1" applyFill="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xr:uid="{00000000-0005-0000-0000-000026000000}"/>
    <cellStyle name="Normal 10 2" xfId="38" xr:uid="{00000000-0005-0000-0000-000027000000}"/>
    <cellStyle name="Normal 11" xfId="39" xr:uid="{00000000-0005-0000-0000-000028000000}"/>
    <cellStyle name="Normal 11 2" xfId="40" xr:uid="{00000000-0005-0000-0000-000029000000}"/>
    <cellStyle name="Normal 12" xfId="41" xr:uid="{00000000-0005-0000-0000-00002A000000}"/>
    <cellStyle name="Normal 12 2" xfId="42" xr:uid="{00000000-0005-0000-0000-00002B000000}"/>
    <cellStyle name="Normal 13" xfId="43" xr:uid="{00000000-0005-0000-0000-00002C000000}"/>
    <cellStyle name="Normal 13 2" xfId="44" xr:uid="{00000000-0005-0000-0000-00002D000000}"/>
    <cellStyle name="Normal 14" xfId="45" xr:uid="{00000000-0005-0000-0000-00002E000000}"/>
    <cellStyle name="Normal 14 2" xfId="46" xr:uid="{00000000-0005-0000-0000-00002F000000}"/>
    <cellStyle name="Normal 15" xfId="47" xr:uid="{00000000-0005-0000-0000-000030000000}"/>
    <cellStyle name="Normal 15 2" xfId="48" xr:uid="{00000000-0005-0000-0000-000031000000}"/>
    <cellStyle name="Normal 16" xfId="49" xr:uid="{00000000-0005-0000-0000-000032000000}"/>
    <cellStyle name="Normal 16 2" xfId="50" xr:uid="{00000000-0005-0000-0000-000033000000}"/>
    <cellStyle name="Normal 17" xfId="51" xr:uid="{00000000-0005-0000-0000-000034000000}"/>
    <cellStyle name="Normal 17 2" xfId="52" xr:uid="{00000000-0005-0000-0000-000035000000}"/>
    <cellStyle name="Normal 18" xfId="53" xr:uid="{00000000-0005-0000-0000-000036000000}"/>
    <cellStyle name="Normal 18 2" xfId="54" xr:uid="{00000000-0005-0000-0000-000037000000}"/>
    <cellStyle name="Normal 19" xfId="55" xr:uid="{00000000-0005-0000-0000-000038000000}"/>
    <cellStyle name="Normal 19 2" xfId="56" xr:uid="{00000000-0005-0000-0000-000039000000}"/>
    <cellStyle name="Normal 2" xfId="57" xr:uid="{00000000-0005-0000-0000-00003A000000}"/>
    <cellStyle name="Normal 2 2" xfId="58" xr:uid="{00000000-0005-0000-0000-00003B000000}"/>
    <cellStyle name="Normal 2 2 2" xfId="59" xr:uid="{00000000-0005-0000-0000-00003C000000}"/>
    <cellStyle name="Normal 2 3" xfId="60" xr:uid="{00000000-0005-0000-0000-00003D000000}"/>
    <cellStyle name="Normal 20" xfId="61" xr:uid="{00000000-0005-0000-0000-00003E000000}"/>
    <cellStyle name="Normal 20 2" xfId="62" xr:uid="{00000000-0005-0000-0000-00003F000000}"/>
    <cellStyle name="Normal 21" xfId="63" xr:uid="{00000000-0005-0000-0000-000040000000}"/>
    <cellStyle name="Normal 21 2" xfId="64" xr:uid="{00000000-0005-0000-0000-000041000000}"/>
    <cellStyle name="Normal 22" xfId="65" xr:uid="{00000000-0005-0000-0000-000042000000}"/>
    <cellStyle name="Normal 22 2" xfId="66" xr:uid="{00000000-0005-0000-0000-000043000000}"/>
    <cellStyle name="Normal 22 3" xfId="67" xr:uid="{00000000-0005-0000-0000-000044000000}"/>
    <cellStyle name="Normal 23" xfId="68" xr:uid="{00000000-0005-0000-0000-000045000000}"/>
    <cellStyle name="Normal 23 2" xfId="69" xr:uid="{00000000-0005-0000-0000-000046000000}"/>
    <cellStyle name="Normal 24" xfId="89" xr:uid="{00000000-0005-0000-0000-000047000000}"/>
    <cellStyle name="Normal 3" xfId="70" xr:uid="{00000000-0005-0000-0000-000048000000}"/>
    <cellStyle name="Normal 3 2" xfId="71" xr:uid="{00000000-0005-0000-0000-000049000000}"/>
    <cellStyle name="Normal 4" xfId="72" xr:uid="{00000000-0005-0000-0000-00004A000000}"/>
    <cellStyle name="Normal 4 2" xfId="73" xr:uid="{00000000-0005-0000-0000-00004B000000}"/>
    <cellStyle name="Normal 5" xfId="74" xr:uid="{00000000-0005-0000-0000-00004C000000}"/>
    <cellStyle name="Normal 5 2" xfId="75" xr:uid="{00000000-0005-0000-0000-00004D000000}"/>
    <cellStyle name="Normal 6" xfId="76" xr:uid="{00000000-0005-0000-0000-00004E000000}"/>
    <cellStyle name="Normal 6 2" xfId="77" xr:uid="{00000000-0005-0000-0000-00004F000000}"/>
    <cellStyle name="Normal 7" xfId="78" xr:uid="{00000000-0005-0000-0000-000050000000}"/>
    <cellStyle name="Normal 7 2" xfId="79" xr:uid="{00000000-0005-0000-0000-000051000000}"/>
    <cellStyle name="Normal 8" xfId="80" xr:uid="{00000000-0005-0000-0000-000052000000}"/>
    <cellStyle name="Normal 8 2" xfId="81" xr:uid="{00000000-0005-0000-0000-000053000000}"/>
    <cellStyle name="Normal 9" xfId="82" xr:uid="{00000000-0005-0000-0000-000054000000}"/>
    <cellStyle name="Normal 9 2" xfId="83" xr:uid="{00000000-0005-0000-0000-000055000000}"/>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Report!$A$523:$A$784</c:f>
              <c:numCache>
                <c:formatCode>m/d/yy;@</c:formatCode>
                <c:ptCount val="262"/>
                <c:pt idx="0">
                  <c:v>43498</c:v>
                </c:pt>
                <c:pt idx="1">
                  <c:v>43505</c:v>
                </c:pt>
                <c:pt idx="2">
                  <c:v>43512</c:v>
                </c:pt>
                <c:pt idx="3">
                  <c:v>43519</c:v>
                </c:pt>
                <c:pt idx="4">
                  <c:v>43526</c:v>
                </c:pt>
                <c:pt idx="5">
                  <c:v>43533</c:v>
                </c:pt>
                <c:pt idx="6">
                  <c:v>43540</c:v>
                </c:pt>
                <c:pt idx="7">
                  <c:v>43547</c:v>
                </c:pt>
                <c:pt idx="8">
                  <c:v>43554</c:v>
                </c:pt>
                <c:pt idx="9">
                  <c:v>43561</c:v>
                </c:pt>
                <c:pt idx="10">
                  <c:v>43568</c:v>
                </c:pt>
                <c:pt idx="11">
                  <c:v>43575</c:v>
                </c:pt>
                <c:pt idx="12">
                  <c:v>43582</c:v>
                </c:pt>
                <c:pt idx="13">
                  <c:v>43589</c:v>
                </c:pt>
                <c:pt idx="14">
                  <c:v>43596</c:v>
                </c:pt>
                <c:pt idx="15">
                  <c:v>43603</c:v>
                </c:pt>
                <c:pt idx="16">
                  <c:v>43610</c:v>
                </c:pt>
                <c:pt idx="17">
                  <c:v>43617</c:v>
                </c:pt>
                <c:pt idx="18">
                  <c:v>43624</c:v>
                </c:pt>
                <c:pt idx="19">
                  <c:v>43631</c:v>
                </c:pt>
                <c:pt idx="20">
                  <c:v>43638</c:v>
                </c:pt>
                <c:pt idx="21">
                  <c:v>43645</c:v>
                </c:pt>
                <c:pt idx="22">
                  <c:v>43652</c:v>
                </c:pt>
                <c:pt idx="23">
                  <c:v>43659</c:v>
                </c:pt>
                <c:pt idx="24">
                  <c:v>43666</c:v>
                </c:pt>
                <c:pt idx="25">
                  <c:v>43673</c:v>
                </c:pt>
                <c:pt idx="26">
                  <c:v>43680</c:v>
                </c:pt>
                <c:pt idx="27">
                  <c:v>43687</c:v>
                </c:pt>
                <c:pt idx="28">
                  <c:v>43694</c:v>
                </c:pt>
                <c:pt idx="29">
                  <c:v>43701</c:v>
                </c:pt>
                <c:pt idx="30">
                  <c:v>43708</c:v>
                </c:pt>
                <c:pt idx="31">
                  <c:v>43715</c:v>
                </c:pt>
                <c:pt idx="32">
                  <c:v>43722</c:v>
                </c:pt>
                <c:pt idx="33">
                  <c:v>43729</c:v>
                </c:pt>
                <c:pt idx="34">
                  <c:v>43736</c:v>
                </c:pt>
                <c:pt idx="35">
                  <c:v>43743</c:v>
                </c:pt>
                <c:pt idx="36">
                  <c:v>43750</c:v>
                </c:pt>
                <c:pt idx="37">
                  <c:v>43757</c:v>
                </c:pt>
                <c:pt idx="38">
                  <c:v>43764</c:v>
                </c:pt>
                <c:pt idx="39">
                  <c:v>43771</c:v>
                </c:pt>
                <c:pt idx="40">
                  <c:v>43778</c:v>
                </c:pt>
                <c:pt idx="41">
                  <c:v>43785</c:v>
                </c:pt>
                <c:pt idx="42">
                  <c:v>43792</c:v>
                </c:pt>
                <c:pt idx="43">
                  <c:v>43799</c:v>
                </c:pt>
                <c:pt idx="44">
                  <c:v>43806</c:v>
                </c:pt>
                <c:pt idx="45">
                  <c:v>43813</c:v>
                </c:pt>
                <c:pt idx="46">
                  <c:v>43820</c:v>
                </c:pt>
                <c:pt idx="47">
                  <c:v>43827</c:v>
                </c:pt>
                <c:pt idx="48">
                  <c:v>43834</c:v>
                </c:pt>
                <c:pt idx="49">
                  <c:v>43841</c:v>
                </c:pt>
                <c:pt idx="50">
                  <c:v>43848</c:v>
                </c:pt>
                <c:pt idx="51">
                  <c:v>43855</c:v>
                </c:pt>
                <c:pt idx="52">
                  <c:v>43862</c:v>
                </c:pt>
                <c:pt idx="53">
                  <c:v>43869</c:v>
                </c:pt>
                <c:pt idx="54">
                  <c:v>43876</c:v>
                </c:pt>
                <c:pt idx="55">
                  <c:v>43883</c:v>
                </c:pt>
                <c:pt idx="56">
                  <c:v>43890</c:v>
                </c:pt>
                <c:pt idx="57">
                  <c:v>43897</c:v>
                </c:pt>
                <c:pt idx="58">
                  <c:v>43904</c:v>
                </c:pt>
                <c:pt idx="59">
                  <c:v>43911</c:v>
                </c:pt>
                <c:pt idx="60">
                  <c:v>43918</c:v>
                </c:pt>
                <c:pt idx="61">
                  <c:v>43925</c:v>
                </c:pt>
                <c:pt idx="62">
                  <c:v>43932</c:v>
                </c:pt>
                <c:pt idx="63">
                  <c:v>43939</c:v>
                </c:pt>
                <c:pt idx="64">
                  <c:v>43946</c:v>
                </c:pt>
                <c:pt idx="65">
                  <c:v>43953</c:v>
                </c:pt>
                <c:pt idx="66">
                  <c:v>43960</c:v>
                </c:pt>
                <c:pt idx="67">
                  <c:v>43967</c:v>
                </c:pt>
                <c:pt idx="68">
                  <c:v>43974</c:v>
                </c:pt>
                <c:pt idx="69">
                  <c:v>43981</c:v>
                </c:pt>
                <c:pt idx="70">
                  <c:v>43988</c:v>
                </c:pt>
                <c:pt idx="71">
                  <c:v>43995</c:v>
                </c:pt>
                <c:pt idx="72">
                  <c:v>44002</c:v>
                </c:pt>
                <c:pt idx="73">
                  <c:v>44009</c:v>
                </c:pt>
                <c:pt idx="74">
                  <c:v>44016</c:v>
                </c:pt>
                <c:pt idx="75">
                  <c:v>44023</c:v>
                </c:pt>
                <c:pt idx="76">
                  <c:v>44030</c:v>
                </c:pt>
                <c:pt idx="77">
                  <c:v>44037</c:v>
                </c:pt>
                <c:pt idx="78">
                  <c:v>44044</c:v>
                </c:pt>
                <c:pt idx="79">
                  <c:v>44051</c:v>
                </c:pt>
                <c:pt idx="80">
                  <c:v>44058</c:v>
                </c:pt>
                <c:pt idx="81">
                  <c:v>44065</c:v>
                </c:pt>
                <c:pt idx="82">
                  <c:v>44072</c:v>
                </c:pt>
                <c:pt idx="83">
                  <c:v>44079</c:v>
                </c:pt>
                <c:pt idx="84">
                  <c:v>44086</c:v>
                </c:pt>
                <c:pt idx="85">
                  <c:v>44093</c:v>
                </c:pt>
                <c:pt idx="86">
                  <c:v>44100</c:v>
                </c:pt>
                <c:pt idx="87">
                  <c:v>44107</c:v>
                </c:pt>
                <c:pt idx="88">
                  <c:v>44114</c:v>
                </c:pt>
                <c:pt idx="89">
                  <c:v>44121</c:v>
                </c:pt>
                <c:pt idx="90">
                  <c:v>44128</c:v>
                </c:pt>
                <c:pt idx="91">
                  <c:v>44135</c:v>
                </c:pt>
                <c:pt idx="92">
                  <c:v>44142</c:v>
                </c:pt>
                <c:pt idx="93">
                  <c:v>44149</c:v>
                </c:pt>
                <c:pt idx="94">
                  <c:v>44156</c:v>
                </c:pt>
                <c:pt idx="95">
                  <c:v>44163</c:v>
                </c:pt>
                <c:pt idx="96">
                  <c:v>44170</c:v>
                </c:pt>
                <c:pt idx="97">
                  <c:v>44177</c:v>
                </c:pt>
                <c:pt idx="98">
                  <c:v>44184</c:v>
                </c:pt>
                <c:pt idx="99">
                  <c:v>44191</c:v>
                </c:pt>
                <c:pt idx="100">
                  <c:v>44198</c:v>
                </c:pt>
                <c:pt idx="101">
                  <c:v>44205</c:v>
                </c:pt>
                <c:pt idx="102">
                  <c:v>44212</c:v>
                </c:pt>
                <c:pt idx="103">
                  <c:v>44219</c:v>
                </c:pt>
                <c:pt idx="104">
                  <c:v>44226</c:v>
                </c:pt>
                <c:pt idx="105">
                  <c:v>44233</c:v>
                </c:pt>
                <c:pt idx="106">
                  <c:v>44240</c:v>
                </c:pt>
                <c:pt idx="107">
                  <c:v>44247</c:v>
                </c:pt>
                <c:pt idx="108">
                  <c:v>44254</c:v>
                </c:pt>
                <c:pt idx="109">
                  <c:v>44261</c:v>
                </c:pt>
                <c:pt idx="110">
                  <c:v>44268</c:v>
                </c:pt>
                <c:pt idx="111">
                  <c:v>44275</c:v>
                </c:pt>
                <c:pt idx="112">
                  <c:v>44282</c:v>
                </c:pt>
                <c:pt idx="113">
                  <c:v>44289</c:v>
                </c:pt>
                <c:pt idx="114">
                  <c:v>44296</c:v>
                </c:pt>
                <c:pt idx="115">
                  <c:v>44303</c:v>
                </c:pt>
                <c:pt idx="116">
                  <c:v>44310</c:v>
                </c:pt>
                <c:pt idx="117">
                  <c:v>44317</c:v>
                </c:pt>
                <c:pt idx="118">
                  <c:v>44324</c:v>
                </c:pt>
                <c:pt idx="119">
                  <c:v>44331</c:v>
                </c:pt>
                <c:pt idx="120">
                  <c:v>44338</c:v>
                </c:pt>
                <c:pt idx="121">
                  <c:v>44345</c:v>
                </c:pt>
                <c:pt idx="122">
                  <c:v>44352</c:v>
                </c:pt>
                <c:pt idx="123">
                  <c:v>44359</c:v>
                </c:pt>
                <c:pt idx="124">
                  <c:v>44366</c:v>
                </c:pt>
                <c:pt idx="125">
                  <c:v>44373</c:v>
                </c:pt>
                <c:pt idx="126">
                  <c:v>44380</c:v>
                </c:pt>
                <c:pt idx="127">
                  <c:v>44387</c:v>
                </c:pt>
                <c:pt idx="128">
                  <c:v>44394</c:v>
                </c:pt>
                <c:pt idx="129">
                  <c:v>44401</c:v>
                </c:pt>
                <c:pt idx="130">
                  <c:v>44408</c:v>
                </c:pt>
                <c:pt idx="131">
                  <c:v>44415</c:v>
                </c:pt>
                <c:pt idx="132">
                  <c:v>44422</c:v>
                </c:pt>
                <c:pt idx="133">
                  <c:v>44429</c:v>
                </c:pt>
                <c:pt idx="134">
                  <c:v>44436</c:v>
                </c:pt>
                <c:pt idx="135">
                  <c:v>44443</c:v>
                </c:pt>
                <c:pt idx="136">
                  <c:v>44450</c:v>
                </c:pt>
                <c:pt idx="137">
                  <c:v>44457</c:v>
                </c:pt>
                <c:pt idx="138">
                  <c:v>44464</c:v>
                </c:pt>
                <c:pt idx="139">
                  <c:v>44471</c:v>
                </c:pt>
                <c:pt idx="140">
                  <c:v>44478</c:v>
                </c:pt>
                <c:pt idx="141">
                  <c:v>44485</c:v>
                </c:pt>
                <c:pt idx="142">
                  <c:v>44492</c:v>
                </c:pt>
                <c:pt idx="143">
                  <c:v>44499</c:v>
                </c:pt>
                <c:pt idx="144">
                  <c:v>44506</c:v>
                </c:pt>
                <c:pt idx="145">
                  <c:v>44513</c:v>
                </c:pt>
                <c:pt idx="146">
                  <c:v>44520</c:v>
                </c:pt>
                <c:pt idx="147">
                  <c:v>44527</c:v>
                </c:pt>
                <c:pt idx="148">
                  <c:v>44534</c:v>
                </c:pt>
                <c:pt idx="149">
                  <c:v>44541</c:v>
                </c:pt>
                <c:pt idx="150">
                  <c:v>44548</c:v>
                </c:pt>
                <c:pt idx="151">
                  <c:v>44555</c:v>
                </c:pt>
                <c:pt idx="152">
                  <c:v>44562</c:v>
                </c:pt>
                <c:pt idx="153">
                  <c:v>44569</c:v>
                </c:pt>
                <c:pt idx="154">
                  <c:v>44576</c:v>
                </c:pt>
                <c:pt idx="155">
                  <c:v>44583</c:v>
                </c:pt>
                <c:pt idx="156">
                  <c:v>44590</c:v>
                </c:pt>
                <c:pt idx="157">
                  <c:v>44597</c:v>
                </c:pt>
                <c:pt idx="158">
                  <c:v>44604</c:v>
                </c:pt>
                <c:pt idx="159">
                  <c:v>44611</c:v>
                </c:pt>
                <c:pt idx="160">
                  <c:v>44618</c:v>
                </c:pt>
                <c:pt idx="161">
                  <c:v>44625</c:v>
                </c:pt>
                <c:pt idx="162">
                  <c:v>44632</c:v>
                </c:pt>
                <c:pt idx="163">
                  <c:v>44639</c:v>
                </c:pt>
                <c:pt idx="164">
                  <c:v>44646</c:v>
                </c:pt>
                <c:pt idx="165">
                  <c:v>44653</c:v>
                </c:pt>
                <c:pt idx="166">
                  <c:v>44660</c:v>
                </c:pt>
                <c:pt idx="167">
                  <c:v>44667</c:v>
                </c:pt>
                <c:pt idx="168">
                  <c:v>44674</c:v>
                </c:pt>
                <c:pt idx="169">
                  <c:v>44681</c:v>
                </c:pt>
                <c:pt idx="170">
                  <c:v>44688</c:v>
                </c:pt>
                <c:pt idx="171">
                  <c:v>44695</c:v>
                </c:pt>
                <c:pt idx="172">
                  <c:v>44702</c:v>
                </c:pt>
                <c:pt idx="173">
                  <c:v>44709</c:v>
                </c:pt>
                <c:pt idx="174">
                  <c:v>44716</c:v>
                </c:pt>
                <c:pt idx="175">
                  <c:v>44723</c:v>
                </c:pt>
                <c:pt idx="176">
                  <c:v>44730</c:v>
                </c:pt>
                <c:pt idx="177">
                  <c:v>44737</c:v>
                </c:pt>
                <c:pt idx="178">
                  <c:v>44744</c:v>
                </c:pt>
                <c:pt idx="179">
                  <c:v>44751</c:v>
                </c:pt>
                <c:pt idx="180">
                  <c:v>44758</c:v>
                </c:pt>
                <c:pt idx="181">
                  <c:v>44765</c:v>
                </c:pt>
                <c:pt idx="182">
                  <c:v>44772</c:v>
                </c:pt>
                <c:pt idx="183">
                  <c:v>44779</c:v>
                </c:pt>
                <c:pt idx="184">
                  <c:v>44786</c:v>
                </c:pt>
                <c:pt idx="185">
                  <c:v>44793</c:v>
                </c:pt>
                <c:pt idx="186">
                  <c:v>44800</c:v>
                </c:pt>
                <c:pt idx="187">
                  <c:v>44807</c:v>
                </c:pt>
                <c:pt idx="188">
                  <c:v>44814</c:v>
                </c:pt>
                <c:pt idx="189">
                  <c:v>44821</c:v>
                </c:pt>
                <c:pt idx="190">
                  <c:v>44828</c:v>
                </c:pt>
                <c:pt idx="191">
                  <c:v>44835</c:v>
                </c:pt>
                <c:pt idx="192">
                  <c:v>44842</c:v>
                </c:pt>
                <c:pt idx="193">
                  <c:v>44849</c:v>
                </c:pt>
                <c:pt idx="194">
                  <c:v>44856</c:v>
                </c:pt>
                <c:pt idx="195">
                  <c:v>44863</c:v>
                </c:pt>
                <c:pt idx="196">
                  <c:v>44870</c:v>
                </c:pt>
                <c:pt idx="197">
                  <c:v>44877</c:v>
                </c:pt>
                <c:pt idx="198">
                  <c:v>44884</c:v>
                </c:pt>
                <c:pt idx="199">
                  <c:v>44891</c:v>
                </c:pt>
                <c:pt idx="200">
                  <c:v>44898</c:v>
                </c:pt>
                <c:pt idx="201">
                  <c:v>44905</c:v>
                </c:pt>
                <c:pt idx="202">
                  <c:v>44912</c:v>
                </c:pt>
                <c:pt idx="203">
                  <c:v>44919</c:v>
                </c:pt>
                <c:pt idx="204">
                  <c:v>44926</c:v>
                </c:pt>
                <c:pt idx="205">
                  <c:v>44933</c:v>
                </c:pt>
                <c:pt idx="206">
                  <c:v>44940</c:v>
                </c:pt>
                <c:pt idx="207">
                  <c:v>44947</c:v>
                </c:pt>
                <c:pt idx="208">
                  <c:v>44954</c:v>
                </c:pt>
                <c:pt idx="209">
                  <c:v>44961</c:v>
                </c:pt>
                <c:pt idx="210">
                  <c:v>44968</c:v>
                </c:pt>
                <c:pt idx="211">
                  <c:v>44975</c:v>
                </c:pt>
                <c:pt idx="212">
                  <c:v>44982</c:v>
                </c:pt>
                <c:pt idx="213">
                  <c:v>44989</c:v>
                </c:pt>
                <c:pt idx="214">
                  <c:v>44996</c:v>
                </c:pt>
                <c:pt idx="215">
                  <c:v>45003</c:v>
                </c:pt>
                <c:pt idx="216">
                  <c:v>45010</c:v>
                </c:pt>
                <c:pt idx="217">
                  <c:v>45017</c:v>
                </c:pt>
                <c:pt idx="218">
                  <c:v>45024</c:v>
                </c:pt>
                <c:pt idx="219">
                  <c:v>45031</c:v>
                </c:pt>
                <c:pt idx="220">
                  <c:v>45038</c:v>
                </c:pt>
                <c:pt idx="221">
                  <c:v>45045</c:v>
                </c:pt>
                <c:pt idx="222">
                  <c:v>45052</c:v>
                </c:pt>
                <c:pt idx="223">
                  <c:v>45059</c:v>
                </c:pt>
                <c:pt idx="224">
                  <c:v>45066</c:v>
                </c:pt>
                <c:pt idx="225">
                  <c:v>45073</c:v>
                </c:pt>
                <c:pt idx="226">
                  <c:v>45080</c:v>
                </c:pt>
                <c:pt idx="227">
                  <c:v>45087</c:v>
                </c:pt>
                <c:pt idx="228">
                  <c:v>45094</c:v>
                </c:pt>
                <c:pt idx="229">
                  <c:v>45101</c:v>
                </c:pt>
                <c:pt idx="230">
                  <c:v>45108</c:v>
                </c:pt>
                <c:pt idx="231">
                  <c:v>45115</c:v>
                </c:pt>
                <c:pt idx="232">
                  <c:v>45122</c:v>
                </c:pt>
                <c:pt idx="233">
                  <c:v>45129</c:v>
                </c:pt>
                <c:pt idx="234">
                  <c:v>45136</c:v>
                </c:pt>
                <c:pt idx="235">
                  <c:v>45143</c:v>
                </c:pt>
                <c:pt idx="236">
                  <c:v>45150</c:v>
                </c:pt>
                <c:pt idx="237">
                  <c:v>45157</c:v>
                </c:pt>
                <c:pt idx="238">
                  <c:v>45164</c:v>
                </c:pt>
                <c:pt idx="239">
                  <c:v>45171</c:v>
                </c:pt>
                <c:pt idx="240">
                  <c:v>45178</c:v>
                </c:pt>
                <c:pt idx="241">
                  <c:v>45185</c:v>
                </c:pt>
                <c:pt idx="242">
                  <c:v>45192</c:v>
                </c:pt>
                <c:pt idx="243">
                  <c:v>45199</c:v>
                </c:pt>
                <c:pt idx="244">
                  <c:v>45206</c:v>
                </c:pt>
                <c:pt idx="245">
                  <c:v>45213</c:v>
                </c:pt>
                <c:pt idx="246">
                  <c:v>45220</c:v>
                </c:pt>
                <c:pt idx="247">
                  <c:v>45227</c:v>
                </c:pt>
                <c:pt idx="248">
                  <c:v>45234</c:v>
                </c:pt>
                <c:pt idx="249">
                  <c:v>45241</c:v>
                </c:pt>
                <c:pt idx="250">
                  <c:v>45248</c:v>
                </c:pt>
                <c:pt idx="251">
                  <c:v>45255</c:v>
                </c:pt>
                <c:pt idx="252">
                  <c:v>45262</c:v>
                </c:pt>
                <c:pt idx="253">
                  <c:v>45269</c:v>
                </c:pt>
                <c:pt idx="254">
                  <c:v>45276</c:v>
                </c:pt>
                <c:pt idx="255">
                  <c:v>45283</c:v>
                </c:pt>
                <c:pt idx="256">
                  <c:v>45290</c:v>
                </c:pt>
                <c:pt idx="257">
                  <c:v>45297</c:v>
                </c:pt>
                <c:pt idx="258">
                  <c:v>45304</c:v>
                </c:pt>
                <c:pt idx="259">
                  <c:v>45311</c:v>
                </c:pt>
                <c:pt idx="260">
                  <c:v>45318</c:v>
                </c:pt>
                <c:pt idx="261">
                  <c:v>45325</c:v>
                </c:pt>
              </c:numCache>
            </c:numRef>
          </c:cat>
          <c:val>
            <c:numRef>
              <c:f>Report!$C$523:$C$784</c:f>
              <c:numCache>
                <c:formatCode>#,##0</c:formatCode>
                <c:ptCount val="262"/>
                <c:pt idx="0">
                  <c:v>19553</c:v>
                </c:pt>
                <c:pt idx="1">
                  <c:v>19595</c:v>
                </c:pt>
                <c:pt idx="2">
                  <c:v>19634</c:v>
                </c:pt>
                <c:pt idx="3">
                  <c:v>19363</c:v>
                </c:pt>
                <c:pt idx="4">
                  <c:v>19231</c:v>
                </c:pt>
                <c:pt idx="5">
                  <c:v>19057</c:v>
                </c:pt>
                <c:pt idx="6">
                  <c:v>19088</c:v>
                </c:pt>
                <c:pt idx="7">
                  <c:v>18987</c:v>
                </c:pt>
                <c:pt idx="8">
                  <c:v>19112</c:v>
                </c:pt>
                <c:pt idx="9">
                  <c:v>18755</c:v>
                </c:pt>
                <c:pt idx="10">
                  <c:v>19736</c:v>
                </c:pt>
                <c:pt idx="11">
                  <c:v>21028</c:v>
                </c:pt>
                <c:pt idx="12">
                  <c:v>22912</c:v>
                </c:pt>
                <c:pt idx="13">
                  <c:v>23733</c:v>
                </c:pt>
                <c:pt idx="14">
                  <c:v>24880</c:v>
                </c:pt>
                <c:pt idx="15">
                  <c:v>25497</c:v>
                </c:pt>
                <c:pt idx="16">
                  <c:v>25609</c:v>
                </c:pt>
                <c:pt idx="17">
                  <c:v>25307</c:v>
                </c:pt>
                <c:pt idx="18">
                  <c:v>26308</c:v>
                </c:pt>
                <c:pt idx="19">
                  <c:v>25992</c:v>
                </c:pt>
                <c:pt idx="20">
                  <c:v>26606</c:v>
                </c:pt>
                <c:pt idx="21">
                  <c:v>26470</c:v>
                </c:pt>
                <c:pt idx="22">
                  <c:v>26689</c:v>
                </c:pt>
                <c:pt idx="23">
                  <c:v>27401</c:v>
                </c:pt>
                <c:pt idx="24">
                  <c:v>28825</c:v>
                </c:pt>
                <c:pt idx="25">
                  <c:v>29236</c:v>
                </c:pt>
                <c:pt idx="26">
                  <c:v>29299</c:v>
                </c:pt>
                <c:pt idx="27">
                  <c:v>28871</c:v>
                </c:pt>
                <c:pt idx="28">
                  <c:v>28619</c:v>
                </c:pt>
                <c:pt idx="29">
                  <c:v>27805</c:v>
                </c:pt>
                <c:pt idx="30">
                  <c:v>27263</c:v>
                </c:pt>
                <c:pt idx="31">
                  <c:v>25986</c:v>
                </c:pt>
                <c:pt idx="32">
                  <c:v>25427</c:v>
                </c:pt>
                <c:pt idx="33">
                  <c:v>24362</c:v>
                </c:pt>
                <c:pt idx="34">
                  <c:v>23611</c:v>
                </c:pt>
                <c:pt idx="35">
                  <c:v>23284</c:v>
                </c:pt>
                <c:pt idx="36">
                  <c:v>22291</c:v>
                </c:pt>
                <c:pt idx="37">
                  <c:v>21911</c:v>
                </c:pt>
                <c:pt idx="38">
                  <c:v>21520</c:v>
                </c:pt>
                <c:pt idx="39">
                  <c:v>20865</c:v>
                </c:pt>
                <c:pt idx="40">
                  <c:v>20673</c:v>
                </c:pt>
                <c:pt idx="41">
                  <c:v>20489</c:v>
                </c:pt>
                <c:pt idx="42">
                  <c:v>19167</c:v>
                </c:pt>
                <c:pt idx="43">
                  <c:v>17372</c:v>
                </c:pt>
                <c:pt idx="44">
                  <c:v>18526</c:v>
                </c:pt>
                <c:pt idx="45">
                  <c:v>17436</c:v>
                </c:pt>
                <c:pt idx="46">
                  <c:v>17519</c:v>
                </c:pt>
                <c:pt idx="47">
                  <c:v>17508</c:v>
                </c:pt>
                <c:pt idx="48">
                  <c:v>17991</c:v>
                </c:pt>
                <c:pt idx="49">
                  <c:v>18259</c:v>
                </c:pt>
                <c:pt idx="50">
                  <c:v>18421</c:v>
                </c:pt>
                <c:pt idx="51">
                  <c:v>18402</c:v>
                </c:pt>
                <c:pt idx="52">
                  <c:v>18855</c:v>
                </c:pt>
                <c:pt idx="53">
                  <c:v>18461</c:v>
                </c:pt>
                <c:pt idx="54">
                  <c:v>18516</c:v>
                </c:pt>
                <c:pt idx="55">
                  <c:v>18217</c:v>
                </c:pt>
                <c:pt idx="56">
                  <c:v>18137</c:v>
                </c:pt>
                <c:pt idx="57">
                  <c:v>17593</c:v>
                </c:pt>
                <c:pt idx="58">
                  <c:v>17595</c:v>
                </c:pt>
                <c:pt idx="59">
                  <c:v>18109</c:v>
                </c:pt>
                <c:pt idx="60">
                  <c:v>26388</c:v>
                </c:pt>
                <c:pt idx="61">
                  <c:v>62598</c:v>
                </c:pt>
                <c:pt idx="62">
                  <c:v>120592</c:v>
                </c:pt>
                <c:pt idx="63">
                  <c:v>170262</c:v>
                </c:pt>
                <c:pt idx="64">
                  <c:v>196401</c:v>
                </c:pt>
                <c:pt idx="65">
                  <c:v>218760</c:v>
                </c:pt>
                <c:pt idx="66">
                  <c:v>228806</c:v>
                </c:pt>
                <c:pt idx="67">
                  <c:v>230567</c:v>
                </c:pt>
                <c:pt idx="68">
                  <c:v>217968</c:v>
                </c:pt>
                <c:pt idx="69">
                  <c:v>209945</c:v>
                </c:pt>
                <c:pt idx="70">
                  <c:v>210605</c:v>
                </c:pt>
                <c:pt idx="71">
                  <c:v>209529</c:v>
                </c:pt>
                <c:pt idx="72">
                  <c:v>217934</c:v>
                </c:pt>
                <c:pt idx="73">
                  <c:v>217505</c:v>
                </c:pt>
                <c:pt idx="74">
                  <c:v>216603</c:v>
                </c:pt>
                <c:pt idx="75">
                  <c:v>227420</c:v>
                </c:pt>
                <c:pt idx="76">
                  <c:v>229352</c:v>
                </c:pt>
                <c:pt idx="77">
                  <c:v>230823</c:v>
                </c:pt>
                <c:pt idx="78">
                  <c:v>232497</c:v>
                </c:pt>
                <c:pt idx="79">
                  <c:v>219460</c:v>
                </c:pt>
                <c:pt idx="80">
                  <c:v>211213</c:v>
                </c:pt>
                <c:pt idx="81">
                  <c:v>205979</c:v>
                </c:pt>
                <c:pt idx="82">
                  <c:v>202717</c:v>
                </c:pt>
                <c:pt idx="83">
                  <c:v>200185</c:v>
                </c:pt>
                <c:pt idx="84">
                  <c:v>194479</c:v>
                </c:pt>
                <c:pt idx="85">
                  <c:v>190508</c:v>
                </c:pt>
                <c:pt idx="86">
                  <c:v>175838</c:v>
                </c:pt>
                <c:pt idx="87">
                  <c:v>168948</c:v>
                </c:pt>
                <c:pt idx="88">
                  <c:v>151437</c:v>
                </c:pt>
                <c:pt idx="89">
                  <c:v>137817</c:v>
                </c:pt>
                <c:pt idx="90">
                  <c:v>125852</c:v>
                </c:pt>
                <c:pt idx="91">
                  <c:v>112426</c:v>
                </c:pt>
                <c:pt idx="92">
                  <c:v>103243</c:v>
                </c:pt>
                <c:pt idx="93">
                  <c:v>95164</c:v>
                </c:pt>
                <c:pt idx="94">
                  <c:v>91485</c:v>
                </c:pt>
                <c:pt idx="95">
                  <c:v>81219</c:v>
                </c:pt>
                <c:pt idx="96">
                  <c:v>82614</c:v>
                </c:pt>
                <c:pt idx="97">
                  <c:v>75980</c:v>
                </c:pt>
                <c:pt idx="98">
                  <c:v>75046</c:v>
                </c:pt>
                <c:pt idx="99">
                  <c:v>69775</c:v>
                </c:pt>
                <c:pt idx="100">
                  <c:v>71901</c:v>
                </c:pt>
                <c:pt idx="101">
                  <c:v>76819</c:v>
                </c:pt>
                <c:pt idx="102">
                  <c:v>71369</c:v>
                </c:pt>
                <c:pt idx="103">
                  <c:v>70808</c:v>
                </c:pt>
                <c:pt idx="104">
                  <c:v>71445</c:v>
                </c:pt>
                <c:pt idx="105">
                  <c:v>69884</c:v>
                </c:pt>
                <c:pt idx="106">
                  <c:v>68987</c:v>
                </c:pt>
                <c:pt idx="107">
                  <c:v>64814</c:v>
                </c:pt>
                <c:pt idx="108">
                  <c:v>62964</c:v>
                </c:pt>
                <c:pt idx="109">
                  <c:v>60272</c:v>
                </c:pt>
                <c:pt idx="110">
                  <c:v>46404</c:v>
                </c:pt>
                <c:pt idx="111">
                  <c:v>48151</c:v>
                </c:pt>
                <c:pt idx="112">
                  <c:v>47675</c:v>
                </c:pt>
                <c:pt idx="113">
                  <c:v>49810</c:v>
                </c:pt>
                <c:pt idx="114">
                  <c:v>49853</c:v>
                </c:pt>
                <c:pt idx="115">
                  <c:v>51376</c:v>
                </c:pt>
                <c:pt idx="116">
                  <c:v>51837</c:v>
                </c:pt>
                <c:pt idx="117">
                  <c:v>54641</c:v>
                </c:pt>
                <c:pt idx="118">
                  <c:v>55157</c:v>
                </c:pt>
                <c:pt idx="119">
                  <c:v>55922</c:v>
                </c:pt>
                <c:pt idx="120">
                  <c:v>54556</c:v>
                </c:pt>
                <c:pt idx="121">
                  <c:v>54744</c:v>
                </c:pt>
                <c:pt idx="122">
                  <c:v>46538</c:v>
                </c:pt>
                <c:pt idx="123">
                  <c:v>47133</c:v>
                </c:pt>
                <c:pt idx="124">
                  <c:v>46159</c:v>
                </c:pt>
                <c:pt idx="125">
                  <c:v>44689</c:v>
                </c:pt>
                <c:pt idx="126">
                  <c:v>43825</c:v>
                </c:pt>
                <c:pt idx="127">
                  <c:v>42426</c:v>
                </c:pt>
                <c:pt idx="128">
                  <c:v>42197</c:v>
                </c:pt>
                <c:pt idx="129">
                  <c:v>41429</c:v>
                </c:pt>
                <c:pt idx="130">
                  <c:v>39920</c:v>
                </c:pt>
                <c:pt idx="131">
                  <c:v>38434</c:v>
                </c:pt>
                <c:pt idx="132">
                  <c:v>36248</c:v>
                </c:pt>
                <c:pt idx="133">
                  <c:v>35754</c:v>
                </c:pt>
                <c:pt idx="134">
                  <c:v>34256</c:v>
                </c:pt>
                <c:pt idx="135">
                  <c:v>32903</c:v>
                </c:pt>
                <c:pt idx="136">
                  <c:v>28520</c:v>
                </c:pt>
                <c:pt idx="137">
                  <c:v>28780</c:v>
                </c:pt>
                <c:pt idx="138">
                  <c:v>26372</c:v>
                </c:pt>
                <c:pt idx="139">
                  <c:v>24250</c:v>
                </c:pt>
                <c:pt idx="140">
                  <c:v>22830</c:v>
                </c:pt>
                <c:pt idx="141">
                  <c:v>20409</c:v>
                </c:pt>
                <c:pt idx="142">
                  <c:v>19847</c:v>
                </c:pt>
                <c:pt idx="143">
                  <c:v>18835</c:v>
                </c:pt>
                <c:pt idx="144">
                  <c:v>18871</c:v>
                </c:pt>
                <c:pt idx="145">
                  <c:v>16644</c:v>
                </c:pt>
                <c:pt idx="146">
                  <c:v>16730</c:v>
                </c:pt>
                <c:pt idx="147">
                  <c:v>14209</c:v>
                </c:pt>
                <c:pt idx="148">
                  <c:v>15190</c:v>
                </c:pt>
                <c:pt idx="149">
                  <c:v>13657</c:v>
                </c:pt>
                <c:pt idx="150">
                  <c:v>14248</c:v>
                </c:pt>
                <c:pt idx="151">
                  <c:v>12306</c:v>
                </c:pt>
                <c:pt idx="152">
                  <c:v>13157</c:v>
                </c:pt>
                <c:pt idx="153">
                  <c:v>13977</c:v>
                </c:pt>
                <c:pt idx="154">
                  <c:v>13291</c:v>
                </c:pt>
                <c:pt idx="155">
                  <c:v>13245</c:v>
                </c:pt>
                <c:pt idx="156">
                  <c:v>13536</c:v>
                </c:pt>
                <c:pt idx="157">
                  <c:v>13150</c:v>
                </c:pt>
                <c:pt idx="158">
                  <c:v>12629</c:v>
                </c:pt>
                <c:pt idx="159">
                  <c:v>12963</c:v>
                </c:pt>
                <c:pt idx="160">
                  <c:v>13288</c:v>
                </c:pt>
                <c:pt idx="161">
                  <c:v>13199</c:v>
                </c:pt>
                <c:pt idx="162">
                  <c:v>13001</c:v>
                </c:pt>
                <c:pt idx="163">
                  <c:v>13210</c:v>
                </c:pt>
                <c:pt idx="164">
                  <c:v>12909</c:v>
                </c:pt>
                <c:pt idx="165">
                  <c:v>13623</c:v>
                </c:pt>
                <c:pt idx="166">
                  <c:v>13313</c:v>
                </c:pt>
                <c:pt idx="167">
                  <c:v>14145</c:v>
                </c:pt>
                <c:pt idx="168">
                  <c:v>15431</c:v>
                </c:pt>
                <c:pt idx="169">
                  <c:v>16077</c:v>
                </c:pt>
                <c:pt idx="170">
                  <c:v>17080</c:v>
                </c:pt>
                <c:pt idx="171">
                  <c:v>17695</c:v>
                </c:pt>
                <c:pt idx="172">
                  <c:v>18266</c:v>
                </c:pt>
                <c:pt idx="173">
                  <c:v>18770</c:v>
                </c:pt>
                <c:pt idx="174">
                  <c:v>19562</c:v>
                </c:pt>
                <c:pt idx="175">
                  <c:v>19967</c:v>
                </c:pt>
                <c:pt idx="176">
                  <c:v>20727</c:v>
                </c:pt>
                <c:pt idx="177">
                  <c:v>20837</c:v>
                </c:pt>
                <c:pt idx="178">
                  <c:v>21090</c:v>
                </c:pt>
                <c:pt idx="179">
                  <c:v>21245</c:v>
                </c:pt>
                <c:pt idx="180">
                  <c:v>22764</c:v>
                </c:pt>
                <c:pt idx="181">
                  <c:v>23841</c:v>
                </c:pt>
                <c:pt idx="182">
                  <c:v>24170</c:v>
                </c:pt>
                <c:pt idx="183">
                  <c:v>24326</c:v>
                </c:pt>
                <c:pt idx="184">
                  <c:v>23660</c:v>
                </c:pt>
                <c:pt idx="185">
                  <c:v>23861</c:v>
                </c:pt>
                <c:pt idx="186">
                  <c:v>23314</c:v>
                </c:pt>
                <c:pt idx="187">
                  <c:v>23121</c:v>
                </c:pt>
                <c:pt idx="188">
                  <c:v>22391</c:v>
                </c:pt>
                <c:pt idx="189">
                  <c:v>22122</c:v>
                </c:pt>
                <c:pt idx="190">
                  <c:v>21626</c:v>
                </c:pt>
                <c:pt idx="191">
                  <c:v>20961</c:v>
                </c:pt>
                <c:pt idx="192">
                  <c:v>20130</c:v>
                </c:pt>
                <c:pt idx="193">
                  <c:v>20044</c:v>
                </c:pt>
                <c:pt idx="194">
                  <c:v>19547</c:v>
                </c:pt>
                <c:pt idx="195">
                  <c:v>19687</c:v>
                </c:pt>
                <c:pt idx="196">
                  <c:v>19087</c:v>
                </c:pt>
                <c:pt idx="197">
                  <c:v>17360</c:v>
                </c:pt>
                <c:pt idx="198">
                  <c:v>19081</c:v>
                </c:pt>
                <c:pt idx="199">
                  <c:v>16899</c:v>
                </c:pt>
                <c:pt idx="200">
                  <c:v>17918</c:v>
                </c:pt>
                <c:pt idx="201">
                  <c:v>17597</c:v>
                </c:pt>
                <c:pt idx="202">
                  <c:v>17851</c:v>
                </c:pt>
                <c:pt idx="203">
                  <c:v>17726</c:v>
                </c:pt>
                <c:pt idx="204">
                  <c:v>17687</c:v>
                </c:pt>
                <c:pt idx="205">
                  <c:v>17814</c:v>
                </c:pt>
                <c:pt idx="206">
                  <c:v>18589</c:v>
                </c:pt>
                <c:pt idx="207">
                  <c:v>18553</c:v>
                </c:pt>
                <c:pt idx="208">
                  <c:v>19275</c:v>
                </c:pt>
                <c:pt idx="209">
                  <c:v>19251</c:v>
                </c:pt>
                <c:pt idx="210">
                  <c:v>19299</c:v>
                </c:pt>
                <c:pt idx="211">
                  <c:v>19669</c:v>
                </c:pt>
                <c:pt idx="212">
                  <c:v>19480</c:v>
                </c:pt>
                <c:pt idx="213">
                  <c:v>19712</c:v>
                </c:pt>
                <c:pt idx="214">
                  <c:v>19515</c:v>
                </c:pt>
                <c:pt idx="215">
                  <c:v>19726</c:v>
                </c:pt>
                <c:pt idx="216">
                  <c:v>19944</c:v>
                </c:pt>
                <c:pt idx="217">
                  <c:v>20181</c:v>
                </c:pt>
                <c:pt idx="218">
                  <c:v>20032</c:v>
                </c:pt>
                <c:pt idx="219">
                  <c:v>20763</c:v>
                </c:pt>
                <c:pt idx="220">
                  <c:v>21956</c:v>
                </c:pt>
                <c:pt idx="221">
                  <c:v>23369</c:v>
                </c:pt>
                <c:pt idx="222">
                  <c:v>24593</c:v>
                </c:pt>
                <c:pt idx="223">
                  <c:v>25388</c:v>
                </c:pt>
                <c:pt idx="224">
                  <c:v>26211</c:v>
                </c:pt>
                <c:pt idx="225">
                  <c:v>26732</c:v>
                </c:pt>
                <c:pt idx="226">
                  <c:v>27186</c:v>
                </c:pt>
                <c:pt idx="227">
                  <c:v>27077</c:v>
                </c:pt>
                <c:pt idx="228">
                  <c:v>28519</c:v>
                </c:pt>
                <c:pt idx="229">
                  <c:v>28717</c:v>
                </c:pt>
                <c:pt idx="230">
                  <c:v>28894</c:v>
                </c:pt>
                <c:pt idx="231">
                  <c:v>28660</c:v>
                </c:pt>
                <c:pt idx="232">
                  <c:v>30148</c:v>
                </c:pt>
                <c:pt idx="233">
                  <c:v>31015</c:v>
                </c:pt>
                <c:pt idx="234">
                  <c:v>31200</c:v>
                </c:pt>
                <c:pt idx="235">
                  <c:v>31101</c:v>
                </c:pt>
                <c:pt idx="236">
                  <c:v>30865</c:v>
                </c:pt>
                <c:pt idx="237">
                  <c:v>30683</c:v>
                </c:pt>
                <c:pt idx="238">
                  <c:v>30160</c:v>
                </c:pt>
                <c:pt idx="239">
                  <c:v>29802</c:v>
                </c:pt>
                <c:pt idx="240">
                  <c:v>28870</c:v>
                </c:pt>
                <c:pt idx="241">
                  <c:v>28486</c:v>
                </c:pt>
                <c:pt idx="242">
                  <c:v>27549</c:v>
                </c:pt>
                <c:pt idx="243">
                  <c:v>27010</c:v>
                </c:pt>
                <c:pt idx="244">
                  <c:v>26085</c:v>
                </c:pt>
                <c:pt idx="245">
                  <c:v>25480</c:v>
                </c:pt>
                <c:pt idx="246">
                  <c:v>25182</c:v>
                </c:pt>
                <c:pt idx="247">
                  <c:v>24570</c:v>
                </c:pt>
                <c:pt idx="248">
                  <c:v>24099</c:v>
                </c:pt>
                <c:pt idx="249">
                  <c:v>21957</c:v>
                </c:pt>
                <c:pt idx="250">
                  <c:v>24148</c:v>
                </c:pt>
                <c:pt idx="251">
                  <c:v>21276</c:v>
                </c:pt>
                <c:pt idx="252">
                  <c:v>22160</c:v>
                </c:pt>
                <c:pt idx="253">
                  <c:v>21542</c:v>
                </c:pt>
                <c:pt idx="254">
                  <c:v>21662</c:v>
                </c:pt>
                <c:pt idx="255">
                  <c:v>21858</c:v>
                </c:pt>
                <c:pt idx="256">
                  <c:v>21387</c:v>
                </c:pt>
                <c:pt idx="257">
                  <c:v>21599</c:v>
                </c:pt>
                <c:pt idx="258">
                  <c:v>21827</c:v>
                </c:pt>
                <c:pt idx="259">
                  <c:v>21958</c:v>
                </c:pt>
                <c:pt idx="260">
                  <c:v>22265</c:v>
                </c:pt>
                <c:pt idx="261">
                  <c:v>22576</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G1279"/>
  <sheetViews>
    <sheetView tabSelected="1" zoomScaleNormal="100" workbookViewId="0">
      <pane xSplit="1" ySplit="3" topLeftCell="B776" activePane="bottomRight" state="frozen"/>
      <selection activeCell="B1" sqref="B1"/>
      <selection pane="topRight" activeCell="C1" sqref="C1"/>
      <selection pane="bottomLeft" activeCell="B4" sqref="B4"/>
      <selection pane="bottomRight" activeCell="C784" sqref="C784"/>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6"/>
      <c r="C2" s="16"/>
      <c r="D2" s="16"/>
      <c r="E2" s="16"/>
      <c r="F2" s="16"/>
      <c r="G2" s="16"/>
      <c r="H2" s="16"/>
      <c r="I2" s="16"/>
      <c r="J2" s="16"/>
      <c r="K2" s="21" t="s">
        <v>14</v>
      </c>
      <c r="L2" s="21"/>
      <c r="M2" s="21" t="s">
        <v>15</v>
      </c>
      <c r="N2" s="21"/>
      <c r="O2" s="13"/>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4"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-8.7341900746685575E-2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7">
        <v>4572</v>
      </c>
      <c r="Q380" s="3"/>
      <c r="R380" s="3"/>
      <c r="S380" s="6"/>
      <c r="T380" s="7"/>
      <c r="U380" s="7"/>
      <c r="V380" s="7"/>
      <c r="W380" s="7"/>
      <c r="X380" s="7"/>
      <c r="Y380" s="7"/>
      <c r="Z380" s="7"/>
      <c r="AA380" s="7"/>
      <c r="AB380" s="7"/>
      <c r="AC380" s="7"/>
      <c r="AD380" s="7"/>
      <c r="AE380" s="8"/>
      <c r="AF380" s="8"/>
      <c r="AG380" s="7"/>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7">
        <v>4401</v>
      </c>
      <c r="Q381" s="3"/>
      <c r="R381" s="3"/>
      <c r="S381" s="6"/>
      <c r="T381" s="7"/>
      <c r="U381" s="7"/>
      <c r="V381" s="7"/>
      <c r="W381" s="7"/>
      <c r="X381" s="7"/>
      <c r="Y381" s="7"/>
      <c r="Z381" s="7"/>
      <c r="AA381" s="7"/>
      <c r="AB381" s="7"/>
      <c r="AC381" s="7"/>
      <c r="AD381" s="7"/>
      <c r="AE381" s="8"/>
      <c r="AF381" s="8"/>
      <c r="AG381" s="7"/>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7">
        <v>4400</v>
      </c>
      <c r="Q382" s="3"/>
      <c r="R382" s="3"/>
      <c r="S382" s="6"/>
      <c r="T382" s="7"/>
      <c r="U382" s="7"/>
      <c r="V382" s="7"/>
      <c r="W382" s="7"/>
      <c r="X382" s="7"/>
      <c r="Y382" s="7"/>
      <c r="Z382" s="7"/>
      <c r="AA382" s="7"/>
      <c r="AB382" s="7"/>
      <c r="AC382" s="7"/>
      <c r="AD382" s="7"/>
      <c r="AE382" s="8"/>
      <c r="AF382" s="8"/>
      <c r="AG382" s="7"/>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7">
        <v>5042</v>
      </c>
      <c r="Q383" s="3"/>
      <c r="R383" s="3"/>
      <c r="S383" s="6"/>
      <c r="T383" s="7"/>
      <c r="U383" s="7"/>
      <c r="V383" s="7"/>
      <c r="W383" s="7"/>
      <c r="X383" s="7"/>
      <c r="Y383" s="7"/>
      <c r="Z383" s="7"/>
      <c r="AA383" s="7"/>
      <c r="AB383" s="7"/>
      <c r="AC383" s="7"/>
      <c r="AD383" s="7"/>
      <c r="AE383" s="8"/>
      <c r="AF383" s="8"/>
      <c r="AG383" s="7"/>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7">
        <v>4862</v>
      </c>
      <c r="Q384" s="3"/>
      <c r="R384" s="3"/>
      <c r="S384" s="6"/>
      <c r="T384" s="7"/>
      <c r="U384" s="7"/>
      <c r="V384" s="7"/>
      <c r="W384" s="7"/>
      <c r="X384" s="7"/>
      <c r="Y384" s="7"/>
      <c r="Z384" s="7"/>
      <c r="AA384" s="7"/>
      <c r="AB384" s="7"/>
      <c r="AC384" s="7"/>
      <c r="AD384" s="7"/>
      <c r="AE384" s="8"/>
      <c r="AF384" s="8"/>
      <c r="AG384" s="7"/>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7">
        <v>4758</v>
      </c>
      <c r="Q385" s="3"/>
      <c r="R385" s="3"/>
      <c r="S385" s="6"/>
      <c r="T385" s="7"/>
      <c r="U385" s="7"/>
      <c r="V385" s="7"/>
      <c r="W385" s="7"/>
      <c r="X385" s="7"/>
      <c r="Y385" s="7"/>
      <c r="Z385" s="7"/>
      <c r="AA385" s="7"/>
      <c r="AB385" s="7"/>
      <c r="AC385" s="7"/>
      <c r="AD385" s="7"/>
      <c r="AE385" s="8"/>
      <c r="AF385" s="8"/>
      <c r="AG385" s="7"/>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7">
        <v>4459</v>
      </c>
      <c r="Q386" s="3"/>
      <c r="R386" s="3"/>
      <c r="S386" s="6"/>
      <c r="T386" s="7"/>
      <c r="U386" s="7"/>
      <c r="V386" s="7"/>
      <c r="W386" s="7"/>
      <c r="X386" s="7"/>
      <c r="Y386" s="7"/>
      <c r="Z386" s="7"/>
      <c r="AA386" s="7"/>
      <c r="AB386" s="7"/>
      <c r="AC386" s="7"/>
      <c r="AD386" s="7"/>
      <c r="AE386" s="8"/>
      <c r="AF386" s="8"/>
      <c r="AG386" s="7"/>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7">
        <v>4663</v>
      </c>
      <c r="Q387" s="3"/>
      <c r="R387" s="3"/>
      <c r="S387" s="6"/>
      <c r="T387" s="7"/>
      <c r="U387" s="7"/>
      <c r="V387" s="7"/>
      <c r="W387" s="7"/>
      <c r="X387" s="7"/>
      <c r="Y387" s="7"/>
      <c r="Z387" s="7"/>
      <c r="AA387" s="7"/>
      <c r="AB387" s="7"/>
      <c r="AC387" s="7"/>
      <c r="AD387" s="7"/>
      <c r="AE387" s="8"/>
      <c r="AF387" s="8"/>
      <c r="AG387" s="7"/>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7">
        <v>5398</v>
      </c>
      <c r="Q388" s="3"/>
      <c r="R388" s="3"/>
      <c r="S388" s="6"/>
      <c r="T388" s="7"/>
      <c r="U388" s="7"/>
      <c r="V388" s="7"/>
      <c r="W388" s="7"/>
      <c r="X388" s="7"/>
      <c r="Y388" s="7"/>
      <c r="Z388" s="7"/>
      <c r="AA388" s="7"/>
      <c r="AB388" s="7"/>
      <c r="AC388" s="7"/>
      <c r="AD388" s="7"/>
      <c r="AE388" s="8"/>
      <c r="AF388" s="8"/>
      <c r="AG388" s="7"/>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7">
        <v>6453</v>
      </c>
      <c r="Q389" s="3"/>
      <c r="R389" s="3"/>
      <c r="S389" s="6"/>
      <c r="T389" s="7"/>
      <c r="U389" s="7"/>
      <c r="V389" s="7"/>
      <c r="W389" s="7"/>
      <c r="X389" s="7"/>
      <c r="Y389" s="7"/>
      <c r="Z389" s="7"/>
      <c r="AA389" s="7"/>
      <c r="AB389" s="7"/>
      <c r="AC389" s="7"/>
      <c r="AD389" s="7"/>
      <c r="AE389" s="8"/>
      <c r="AF389" s="8"/>
      <c r="AG389" s="7"/>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7">
        <v>5408</v>
      </c>
      <c r="Q390" s="3"/>
      <c r="R390" s="3"/>
      <c r="S390" s="6"/>
      <c r="T390" s="7"/>
      <c r="U390" s="7"/>
      <c r="V390" s="7"/>
      <c r="W390" s="7"/>
      <c r="X390" s="7"/>
      <c r="Y390" s="7"/>
      <c r="Z390" s="7"/>
      <c r="AA390" s="7"/>
      <c r="AB390" s="7"/>
      <c r="AC390" s="7"/>
      <c r="AD390" s="7"/>
      <c r="AE390" s="8"/>
      <c r="AF390" s="8"/>
      <c r="AG390" s="7"/>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7">
        <v>4820</v>
      </c>
      <c r="Q391" s="3"/>
      <c r="R391" s="3"/>
      <c r="S391" s="6"/>
      <c r="T391" s="7"/>
      <c r="U391" s="7"/>
      <c r="V391" s="7"/>
      <c r="W391" s="7"/>
      <c r="X391" s="7"/>
      <c r="Y391" s="7"/>
      <c r="Z391" s="7"/>
      <c r="AA391" s="7"/>
      <c r="AB391" s="7"/>
      <c r="AC391" s="7"/>
      <c r="AD391" s="7"/>
      <c r="AE391" s="8"/>
      <c r="AF391" s="8"/>
      <c r="AG391" s="7"/>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7">
        <v>4404</v>
      </c>
      <c r="Q392" s="3"/>
      <c r="R392" s="3"/>
      <c r="S392" s="6"/>
      <c r="T392" s="7"/>
      <c r="U392" s="7"/>
      <c r="V392" s="7"/>
      <c r="W392" s="7"/>
      <c r="X392" s="7"/>
      <c r="Y392" s="7"/>
      <c r="Z392" s="7"/>
      <c r="AA392" s="7"/>
      <c r="AB392" s="7"/>
      <c r="AC392" s="7"/>
      <c r="AD392" s="7"/>
      <c r="AE392" s="8"/>
      <c r="AF392" s="8"/>
      <c r="AG392" s="7"/>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7">
        <v>4428</v>
      </c>
      <c r="Q393" s="3"/>
      <c r="R393" s="3"/>
      <c r="S393" s="6"/>
      <c r="T393" s="7"/>
      <c r="U393" s="7"/>
      <c r="V393" s="7"/>
      <c r="W393" s="7"/>
      <c r="X393" s="7"/>
      <c r="Y393" s="7"/>
      <c r="Z393" s="7"/>
      <c r="AA393" s="7"/>
      <c r="AB393" s="7"/>
      <c r="AC393" s="7"/>
      <c r="AD393" s="7"/>
      <c r="AE393" s="8"/>
      <c r="AF393" s="8"/>
      <c r="AG393" s="7"/>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7">
        <v>4194</v>
      </c>
      <c r="Q394" s="3"/>
      <c r="R394" s="3"/>
      <c r="S394" s="6"/>
      <c r="T394" s="7"/>
      <c r="U394" s="7"/>
      <c r="V394" s="7"/>
      <c r="W394" s="7"/>
      <c r="X394" s="7"/>
      <c r="Y394" s="7"/>
      <c r="Z394" s="7"/>
      <c r="AA394" s="7"/>
      <c r="AB394" s="7"/>
      <c r="AC394" s="7"/>
      <c r="AD394" s="7"/>
      <c r="AE394" s="8"/>
      <c r="AF394" s="8"/>
      <c r="AG394" s="7"/>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7">
        <v>4091</v>
      </c>
      <c r="Q395" s="3"/>
      <c r="R395" s="3"/>
      <c r="S395" s="6"/>
      <c r="T395" s="7"/>
      <c r="U395" s="7"/>
      <c r="V395" s="7"/>
      <c r="W395" s="7"/>
      <c r="X395" s="7"/>
      <c r="Y395" s="7"/>
      <c r="Z395" s="7"/>
      <c r="AA395" s="7"/>
      <c r="AB395" s="7"/>
      <c r="AC395" s="7"/>
      <c r="AD395" s="7"/>
      <c r="AE395" s="8"/>
      <c r="AF395" s="8"/>
      <c r="AG395" s="7"/>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7">
        <v>3970</v>
      </c>
      <c r="Q396" s="3"/>
      <c r="R396" s="3"/>
      <c r="S396" s="6"/>
      <c r="T396" s="7"/>
      <c r="U396" s="7"/>
      <c r="V396" s="7"/>
      <c r="W396" s="7"/>
      <c r="X396" s="7"/>
      <c r="Y396" s="7"/>
      <c r="Z396" s="7"/>
      <c r="AA396" s="7"/>
      <c r="AB396" s="7"/>
      <c r="AC396" s="7"/>
      <c r="AD396" s="7"/>
      <c r="AE396" s="8"/>
      <c r="AF396" s="8"/>
      <c r="AG396" s="7"/>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7">
        <v>4010</v>
      </c>
      <c r="Q397" s="3"/>
      <c r="R397" s="3"/>
      <c r="S397" s="6"/>
      <c r="T397" s="7"/>
      <c r="U397" s="7"/>
      <c r="V397" s="7"/>
      <c r="W397" s="7"/>
      <c r="X397" s="7"/>
      <c r="Y397" s="7"/>
      <c r="Z397" s="7"/>
      <c r="AA397" s="7"/>
      <c r="AB397" s="7"/>
      <c r="AC397" s="7"/>
      <c r="AD397" s="7"/>
      <c r="AE397" s="8"/>
      <c r="AF397" s="8"/>
      <c r="AG397" s="7"/>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7">
        <v>3588</v>
      </c>
      <c r="Q398" s="3"/>
      <c r="R398" s="3"/>
      <c r="S398" s="6"/>
      <c r="T398" s="7"/>
      <c r="U398" s="7"/>
      <c r="V398" s="7"/>
      <c r="W398" s="7"/>
      <c r="X398" s="7"/>
      <c r="Y398" s="7"/>
      <c r="Z398" s="7"/>
      <c r="AA398" s="7"/>
      <c r="AB398" s="7"/>
      <c r="AC398" s="7"/>
      <c r="AD398" s="7"/>
      <c r="AE398" s="8"/>
      <c r="AF398" s="8"/>
      <c r="AG398" s="7"/>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7">
        <v>4056</v>
      </c>
      <c r="Q399" s="3"/>
      <c r="R399" s="3"/>
      <c r="S399" s="6"/>
      <c r="T399" s="7"/>
      <c r="U399" s="7"/>
      <c r="V399" s="7"/>
      <c r="W399" s="7"/>
      <c r="X399" s="7"/>
      <c r="Y399" s="7"/>
      <c r="Z399" s="7"/>
      <c r="AA399" s="7"/>
      <c r="AB399" s="7"/>
      <c r="AC399" s="7"/>
      <c r="AD399" s="7"/>
      <c r="AE399" s="8"/>
      <c r="AF399" s="8"/>
      <c r="AG399" s="7"/>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7">
        <v>3945</v>
      </c>
      <c r="Q400" s="3"/>
      <c r="R400" s="3"/>
      <c r="S400" s="6"/>
      <c r="T400" s="7"/>
      <c r="U400" s="7"/>
      <c r="V400" s="7"/>
      <c r="W400" s="7"/>
      <c r="X400" s="7"/>
      <c r="Y400" s="7"/>
      <c r="Z400" s="7"/>
      <c r="AA400" s="7"/>
      <c r="AB400" s="7"/>
      <c r="AC400" s="7"/>
      <c r="AD400" s="7"/>
      <c r="AE400" s="8"/>
      <c r="AF400" s="8"/>
      <c r="AG400" s="7"/>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7">
        <v>3987</v>
      </c>
      <c r="Q401" s="3"/>
      <c r="R401" s="3"/>
      <c r="S401" s="6"/>
      <c r="T401" s="7"/>
      <c r="U401" s="7"/>
      <c r="V401" s="7"/>
      <c r="W401" s="7"/>
      <c r="X401" s="7"/>
      <c r="Y401" s="7"/>
      <c r="Z401" s="7"/>
      <c r="AA401" s="7"/>
      <c r="AB401" s="7"/>
      <c r="AC401" s="7"/>
      <c r="AD401" s="7"/>
      <c r="AE401" s="8"/>
      <c r="AF401" s="8"/>
      <c r="AG401" s="7"/>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7">
        <v>4659</v>
      </c>
      <c r="Q402" s="3"/>
      <c r="R402" s="3"/>
      <c r="S402" s="6"/>
      <c r="T402" s="7"/>
      <c r="U402" s="7"/>
      <c r="V402" s="7"/>
      <c r="W402" s="7"/>
      <c r="X402" s="7"/>
      <c r="Y402" s="7"/>
      <c r="Z402" s="7"/>
      <c r="AA402" s="7"/>
      <c r="AB402" s="7"/>
      <c r="AC402" s="7"/>
      <c r="AD402" s="7"/>
      <c r="AE402" s="8"/>
      <c r="AF402" s="8"/>
      <c r="AG402" s="7"/>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7">
        <v>4022</v>
      </c>
      <c r="Q403" s="3"/>
      <c r="R403" s="3"/>
      <c r="S403" s="6"/>
      <c r="T403" s="7"/>
      <c r="U403" s="7"/>
      <c r="V403" s="7"/>
      <c r="W403" s="7"/>
      <c r="X403" s="7"/>
      <c r="Y403" s="7"/>
      <c r="Z403" s="7"/>
      <c r="AA403" s="7"/>
      <c r="AB403" s="7"/>
      <c r="AC403" s="7"/>
      <c r="AD403" s="7"/>
      <c r="AE403" s="8"/>
      <c r="AF403" s="8"/>
      <c r="AG403" s="7"/>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7">
        <v>4063</v>
      </c>
      <c r="Q404" s="3"/>
      <c r="R404" s="3"/>
      <c r="S404" s="6"/>
      <c r="T404" s="7"/>
      <c r="U404" s="7"/>
      <c r="V404" s="7"/>
      <c r="W404" s="7"/>
      <c r="X404" s="7"/>
      <c r="Y404" s="7"/>
      <c r="Z404" s="7"/>
      <c r="AA404" s="7"/>
      <c r="AB404" s="7"/>
      <c r="AC404" s="7"/>
      <c r="AD404" s="7"/>
      <c r="AE404" s="8"/>
      <c r="AF404" s="8"/>
      <c r="AG404" s="7"/>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7">
        <v>3942</v>
      </c>
      <c r="Q405" s="3"/>
      <c r="R405" s="3"/>
      <c r="S405" s="6"/>
      <c r="T405" s="7"/>
      <c r="U405" s="7"/>
      <c r="V405" s="7"/>
      <c r="W405" s="7"/>
      <c r="X405" s="7"/>
      <c r="Y405" s="7"/>
      <c r="Z405" s="7"/>
      <c r="AA405" s="7"/>
      <c r="AB405" s="7"/>
      <c r="AC405" s="7"/>
      <c r="AD405" s="7"/>
      <c r="AE405" s="8"/>
      <c r="AF405" s="8"/>
      <c r="AG405" s="7"/>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7">
        <v>4184</v>
      </c>
      <c r="Q406" s="3"/>
      <c r="R406" s="3"/>
      <c r="S406" s="6"/>
      <c r="T406" s="7"/>
      <c r="U406" s="7"/>
      <c r="V406" s="7"/>
      <c r="W406" s="7"/>
      <c r="X406" s="7"/>
      <c r="Y406" s="7"/>
      <c r="Z406" s="7"/>
      <c r="AA406" s="7"/>
      <c r="AB406" s="7"/>
      <c r="AC406" s="7"/>
      <c r="AD406" s="7"/>
      <c r="AE406" s="8"/>
      <c r="AF406" s="8"/>
      <c r="AG406" s="7"/>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7">
        <v>3374</v>
      </c>
      <c r="Q407" s="3"/>
      <c r="R407" s="3"/>
      <c r="S407" s="6"/>
      <c r="T407" s="7"/>
      <c r="U407" s="7"/>
      <c r="V407" s="7"/>
      <c r="W407" s="7"/>
      <c r="X407" s="7"/>
      <c r="Y407" s="7"/>
      <c r="Z407" s="7"/>
      <c r="AA407" s="7"/>
      <c r="AB407" s="7"/>
      <c r="AC407" s="7"/>
      <c r="AD407" s="7"/>
      <c r="AE407" s="8"/>
      <c r="AF407" s="8"/>
      <c r="AG407" s="7"/>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7">
        <v>4291</v>
      </c>
      <c r="Q408" s="3"/>
      <c r="R408" s="3"/>
      <c r="S408" s="6"/>
      <c r="T408" s="7"/>
      <c r="U408" s="7"/>
      <c r="V408" s="7"/>
      <c r="W408" s="7"/>
      <c r="X408" s="7"/>
      <c r="Y408" s="7"/>
      <c r="Z408" s="7"/>
      <c r="AA408" s="7"/>
      <c r="AB408" s="7"/>
      <c r="AC408" s="7"/>
      <c r="AD408" s="7"/>
      <c r="AE408" s="8"/>
      <c r="AF408" s="8"/>
      <c r="AG408" s="7"/>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7">
        <v>2657</v>
      </c>
      <c r="Q409" s="3"/>
      <c r="R409" s="3"/>
      <c r="S409" s="6"/>
      <c r="T409" s="7"/>
      <c r="U409" s="7"/>
      <c r="V409" s="7"/>
      <c r="W409" s="7"/>
      <c r="X409" s="7"/>
      <c r="Y409" s="7"/>
      <c r="Z409" s="7"/>
      <c r="AA409" s="7"/>
      <c r="AB409" s="7"/>
      <c r="AC409" s="7"/>
      <c r="AD409" s="7"/>
      <c r="AE409" s="8"/>
      <c r="AF409" s="8"/>
      <c r="AG409" s="7"/>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7">
        <v>4258</v>
      </c>
      <c r="Q410" s="3"/>
      <c r="R410" s="3"/>
      <c r="S410" s="6"/>
      <c r="T410" s="7"/>
      <c r="U410" s="7"/>
      <c r="V410" s="7"/>
      <c r="W410" s="7"/>
      <c r="X410" s="7"/>
      <c r="Y410" s="7"/>
      <c r="Z410" s="7"/>
      <c r="AA410" s="7"/>
      <c r="AB410" s="7"/>
      <c r="AC410" s="7"/>
      <c r="AD410" s="7"/>
      <c r="AE410" s="8"/>
      <c r="AF410" s="8"/>
      <c r="AG410" s="7"/>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7">
        <v>4050</v>
      </c>
      <c r="Q411" s="3"/>
      <c r="R411" s="3"/>
      <c r="S411" s="6"/>
      <c r="T411" s="7"/>
      <c r="U411" s="7"/>
      <c r="V411" s="7"/>
      <c r="W411" s="7"/>
      <c r="X411" s="7"/>
      <c r="Y411" s="7"/>
      <c r="Z411" s="7"/>
      <c r="AA411" s="7"/>
      <c r="AB411" s="7"/>
      <c r="AC411" s="7"/>
      <c r="AD411" s="7"/>
      <c r="AE411" s="8"/>
      <c r="AF411" s="8"/>
      <c r="AG411" s="7"/>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7">
        <v>3730</v>
      </c>
      <c r="Q412" s="3"/>
      <c r="R412" s="3"/>
      <c r="S412" s="6"/>
      <c r="T412" s="7"/>
      <c r="U412" s="7"/>
      <c r="V412" s="7"/>
      <c r="W412" s="7"/>
      <c r="X412" s="7"/>
      <c r="Y412" s="7"/>
      <c r="Z412" s="7"/>
      <c r="AA412" s="7"/>
      <c r="AB412" s="7"/>
      <c r="AC412" s="7"/>
      <c r="AD412" s="7"/>
      <c r="AE412" s="8"/>
      <c r="AF412" s="8"/>
      <c r="AG412" s="7"/>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7">
        <v>3311</v>
      </c>
      <c r="Q413" s="3"/>
      <c r="R413" s="3"/>
      <c r="S413" s="6"/>
      <c r="T413" s="7"/>
      <c r="U413" s="7"/>
      <c r="V413" s="7"/>
      <c r="W413" s="7"/>
      <c r="X413" s="7"/>
      <c r="Y413" s="7"/>
      <c r="Z413" s="7"/>
      <c r="AA413" s="7"/>
      <c r="AB413" s="7"/>
      <c r="AC413" s="7"/>
      <c r="AD413" s="7"/>
      <c r="AE413" s="8"/>
      <c r="AF413" s="8"/>
      <c r="AG413" s="7"/>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7">
        <v>3154</v>
      </c>
      <c r="Q414" s="3"/>
      <c r="R414" s="3"/>
      <c r="S414" s="6"/>
      <c r="T414" s="7"/>
      <c r="U414" s="7"/>
      <c r="V414" s="7"/>
      <c r="W414" s="7"/>
      <c r="X414" s="7"/>
      <c r="Y414" s="7"/>
      <c r="Z414" s="7"/>
      <c r="AA414" s="7"/>
      <c r="AB414" s="7"/>
      <c r="AC414" s="7"/>
      <c r="AD414" s="7"/>
      <c r="AE414" s="8"/>
      <c r="AF414" s="8"/>
      <c r="AG414" s="7"/>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7">
        <v>4551</v>
      </c>
      <c r="Q415" s="3"/>
      <c r="R415" s="3"/>
      <c r="S415" s="6"/>
      <c r="T415" s="7"/>
      <c r="U415" s="7"/>
      <c r="V415" s="7"/>
      <c r="W415" s="7"/>
      <c r="X415" s="7"/>
      <c r="Y415" s="7"/>
      <c r="Z415" s="7"/>
      <c r="AA415" s="7"/>
      <c r="AB415" s="7"/>
      <c r="AC415" s="7"/>
      <c r="AD415" s="7"/>
      <c r="AE415" s="8"/>
      <c r="AF415" s="8"/>
      <c r="AG415" s="7"/>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7">
        <v>4677</v>
      </c>
      <c r="Q416" s="3"/>
      <c r="R416" s="3"/>
      <c r="S416" s="6"/>
      <c r="T416" s="7"/>
      <c r="U416" s="7"/>
      <c r="V416" s="7"/>
      <c r="W416" s="7"/>
      <c r="X416" s="7"/>
      <c r="Y416" s="7"/>
      <c r="Z416" s="7"/>
      <c r="AA416" s="7"/>
      <c r="AB416" s="7"/>
      <c r="AC416" s="7"/>
      <c r="AD416" s="7"/>
      <c r="AE416" s="8"/>
      <c r="AF416" s="8"/>
      <c r="AG416" s="7"/>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7">
        <v>3944</v>
      </c>
      <c r="Q417" s="3"/>
      <c r="R417" s="3"/>
      <c r="S417" s="6"/>
      <c r="T417" s="7"/>
      <c r="U417" s="7"/>
      <c r="V417" s="7"/>
      <c r="W417" s="7"/>
      <c r="X417" s="7"/>
      <c r="Y417" s="7"/>
      <c r="Z417" s="7"/>
      <c r="AA417" s="7"/>
      <c r="AB417" s="7"/>
      <c r="AC417" s="7"/>
      <c r="AD417" s="7"/>
      <c r="AE417" s="8"/>
      <c r="AF417" s="8"/>
      <c r="AG417" s="7"/>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7">
        <v>4205</v>
      </c>
      <c r="Q418" s="3"/>
      <c r="R418" s="3"/>
      <c r="S418" s="6"/>
      <c r="T418" s="7"/>
      <c r="U418" s="7"/>
      <c r="V418" s="7"/>
      <c r="W418" s="7"/>
      <c r="X418" s="7"/>
      <c r="Y418" s="7"/>
      <c r="Z418" s="7"/>
      <c r="AA418" s="7"/>
      <c r="AB418" s="7"/>
      <c r="AC418" s="7"/>
      <c r="AD418" s="7"/>
      <c r="AE418" s="8"/>
      <c r="AF418" s="8"/>
      <c r="AG418" s="7"/>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7">
        <v>4300</v>
      </c>
      <c r="Q419" s="3"/>
      <c r="R419" s="3"/>
      <c r="S419" s="6"/>
      <c r="T419" s="7"/>
      <c r="U419" s="7"/>
      <c r="V419" s="7"/>
      <c r="W419" s="7"/>
      <c r="X419" s="7"/>
      <c r="Y419" s="7"/>
      <c r="Z419" s="7"/>
      <c r="AA419" s="7"/>
      <c r="AB419" s="7"/>
      <c r="AC419" s="7"/>
      <c r="AD419" s="7"/>
      <c r="AE419" s="8"/>
      <c r="AF419" s="8"/>
      <c r="AG419" s="7"/>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7">
        <v>4003</v>
      </c>
      <c r="Q420" s="3"/>
      <c r="R420" s="3"/>
      <c r="S420" s="6"/>
      <c r="T420" s="7"/>
      <c r="U420" s="7"/>
      <c r="V420" s="7"/>
      <c r="W420" s="7"/>
      <c r="X420" s="7"/>
      <c r="Y420" s="7"/>
      <c r="Z420" s="7"/>
      <c r="AA420" s="7"/>
      <c r="AB420" s="7"/>
      <c r="AC420" s="7"/>
      <c r="AD420" s="7"/>
      <c r="AE420" s="8"/>
      <c r="AF420" s="8"/>
      <c r="AG420" s="7"/>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7">
        <v>3718</v>
      </c>
      <c r="Q421" s="3"/>
      <c r="R421" s="3"/>
      <c r="S421" s="6"/>
      <c r="T421" s="7"/>
      <c r="U421" s="7"/>
      <c r="V421" s="7"/>
      <c r="W421" s="7"/>
      <c r="X421" s="7"/>
      <c r="Y421" s="7"/>
      <c r="Z421" s="7"/>
      <c r="AA421" s="7"/>
      <c r="AB421" s="7"/>
      <c r="AC421" s="7"/>
      <c r="AD421" s="7"/>
      <c r="AE421" s="8"/>
      <c r="AF421" s="8"/>
      <c r="AG421" s="7"/>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7">
        <v>3397</v>
      </c>
      <c r="Q422" s="3"/>
      <c r="R422" s="3"/>
      <c r="S422" s="6"/>
      <c r="T422" s="7"/>
      <c r="U422" s="7"/>
      <c r="V422" s="7"/>
      <c r="W422" s="7"/>
      <c r="X422" s="7"/>
      <c r="Y422" s="7"/>
      <c r="Z422" s="7"/>
      <c r="AA422" s="7"/>
      <c r="AB422" s="7"/>
      <c r="AC422" s="7"/>
      <c r="AD422" s="7"/>
      <c r="AE422" s="8"/>
      <c r="AF422" s="8"/>
      <c r="AG422" s="7"/>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7">
        <v>3808</v>
      </c>
      <c r="Q423" s="3"/>
      <c r="R423" s="3"/>
      <c r="S423" s="6"/>
      <c r="T423" s="7"/>
      <c r="U423" s="7"/>
      <c r="V423" s="7"/>
      <c r="W423" s="7"/>
      <c r="X423" s="7"/>
      <c r="Y423" s="7"/>
      <c r="Z423" s="7"/>
      <c r="AA423" s="7"/>
      <c r="AB423" s="7"/>
      <c r="AC423" s="7"/>
      <c r="AD423" s="7"/>
      <c r="AE423" s="8"/>
      <c r="AF423" s="8"/>
      <c r="AG423" s="7"/>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7">
        <v>3746</v>
      </c>
      <c r="Q424" s="3"/>
      <c r="R424" s="3"/>
      <c r="S424" s="6"/>
      <c r="T424" s="7"/>
      <c r="U424" s="7"/>
      <c r="V424" s="7"/>
      <c r="W424" s="7"/>
      <c r="X424" s="7"/>
      <c r="Y424" s="7"/>
      <c r="Z424" s="7"/>
      <c r="AA424" s="7"/>
      <c r="AB424" s="7"/>
      <c r="AC424" s="7"/>
      <c r="AD424" s="7"/>
      <c r="AE424" s="8"/>
      <c r="AF424" s="8"/>
      <c r="AG424" s="7"/>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7">
        <v>3906</v>
      </c>
      <c r="Q425" s="3"/>
      <c r="R425" s="3"/>
      <c r="S425" s="6"/>
      <c r="T425" s="7"/>
      <c r="U425" s="7"/>
      <c r="V425" s="7"/>
      <c r="W425" s="7"/>
      <c r="X425" s="7"/>
      <c r="Y425" s="7"/>
      <c r="Z425" s="7"/>
      <c r="AA425" s="7"/>
      <c r="AB425" s="7"/>
      <c r="AC425" s="7"/>
      <c r="AD425" s="7"/>
      <c r="AE425" s="8"/>
      <c r="AF425" s="8"/>
      <c r="AG425" s="7"/>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7">
        <v>3986</v>
      </c>
      <c r="Q426" s="3"/>
      <c r="R426" s="3"/>
      <c r="S426" s="6"/>
      <c r="T426" s="7"/>
      <c r="U426" s="7"/>
      <c r="V426" s="7"/>
      <c r="W426" s="7"/>
      <c r="X426" s="7"/>
      <c r="Y426" s="7"/>
      <c r="Z426" s="7"/>
      <c r="AA426" s="7"/>
      <c r="AB426" s="7"/>
      <c r="AC426" s="7"/>
      <c r="AD426" s="7"/>
      <c r="AE426" s="8"/>
      <c r="AF426" s="8"/>
      <c r="AG426" s="7"/>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7">
        <v>4393</v>
      </c>
      <c r="Q427" s="3"/>
      <c r="R427" s="3"/>
      <c r="S427" s="6"/>
      <c r="T427" s="7"/>
      <c r="U427" s="7"/>
      <c r="V427" s="7"/>
      <c r="W427" s="7"/>
      <c r="X427" s="7"/>
      <c r="Y427" s="7"/>
      <c r="Z427" s="7"/>
      <c r="AA427" s="7"/>
      <c r="AB427" s="7"/>
      <c r="AC427" s="7"/>
      <c r="AD427" s="7"/>
      <c r="AE427" s="8"/>
      <c r="AF427" s="8"/>
      <c r="AG427" s="7"/>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7">
        <v>6757</v>
      </c>
      <c r="Q428" s="3"/>
      <c r="R428" s="3"/>
      <c r="S428" s="6"/>
      <c r="T428" s="7"/>
      <c r="U428" s="7"/>
      <c r="V428" s="7"/>
      <c r="W428" s="7"/>
      <c r="X428" s="7"/>
      <c r="Y428" s="7"/>
      <c r="Z428" s="7"/>
      <c r="AA428" s="7"/>
      <c r="AB428" s="7"/>
      <c r="AC428" s="7"/>
      <c r="AD428" s="7"/>
      <c r="AE428" s="8"/>
      <c r="AF428" s="8"/>
      <c r="AG428" s="7"/>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7">
        <v>5285</v>
      </c>
      <c r="Q429" s="3"/>
      <c r="R429" s="3"/>
      <c r="S429" s="6"/>
      <c r="T429" s="7"/>
      <c r="U429" s="7"/>
      <c r="V429" s="7"/>
      <c r="W429" s="7"/>
      <c r="X429" s="7"/>
      <c r="Y429" s="7"/>
      <c r="Z429" s="7"/>
      <c r="AA429" s="7"/>
      <c r="AB429" s="7"/>
      <c r="AC429" s="7"/>
      <c r="AD429" s="7"/>
      <c r="AE429" s="8"/>
      <c r="AF429" s="8"/>
      <c r="AG429" s="7"/>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7">
        <v>6013</v>
      </c>
      <c r="Q430" s="3"/>
      <c r="R430" s="3"/>
      <c r="S430" s="6"/>
      <c r="T430" s="7"/>
      <c r="U430" s="7"/>
      <c r="V430" s="7"/>
      <c r="W430" s="7"/>
      <c r="X430" s="7"/>
      <c r="Y430" s="7"/>
      <c r="Z430" s="7"/>
      <c r="AA430" s="7"/>
      <c r="AB430" s="7"/>
      <c r="AC430" s="7"/>
      <c r="AD430" s="7"/>
      <c r="AE430" s="8"/>
      <c r="AF430" s="8"/>
      <c r="AG430" s="7"/>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7">
        <v>4767</v>
      </c>
      <c r="Q431" s="3"/>
      <c r="R431" s="3"/>
      <c r="S431" s="6"/>
      <c r="T431" s="7"/>
      <c r="U431" s="7"/>
      <c r="V431" s="7"/>
      <c r="W431" s="7"/>
      <c r="X431" s="7"/>
      <c r="Y431" s="7"/>
      <c r="Z431" s="7"/>
      <c r="AA431" s="7"/>
      <c r="AB431" s="7"/>
      <c r="AC431" s="7"/>
      <c r="AD431" s="7"/>
      <c r="AE431" s="8"/>
      <c r="AF431" s="8"/>
      <c r="AG431" s="7"/>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7">
        <v>4519</v>
      </c>
      <c r="Q432" s="3"/>
      <c r="R432" s="3"/>
      <c r="S432" s="6"/>
      <c r="T432" s="7"/>
      <c r="U432" s="7"/>
      <c r="V432" s="7"/>
      <c r="W432" s="7"/>
      <c r="X432" s="7"/>
      <c r="Y432" s="7"/>
      <c r="Z432" s="7"/>
      <c r="AA432" s="7"/>
      <c r="AB432" s="7"/>
      <c r="AC432" s="7"/>
      <c r="AD432" s="7"/>
      <c r="AE432" s="8"/>
      <c r="AF432" s="8"/>
      <c r="AG432" s="7"/>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7">
        <v>4167</v>
      </c>
      <c r="Q433" s="3"/>
      <c r="R433" s="3"/>
      <c r="S433" s="6"/>
      <c r="T433" s="7"/>
      <c r="U433" s="7"/>
      <c r="V433" s="7"/>
      <c r="W433" s="7"/>
      <c r="X433" s="7"/>
      <c r="Y433" s="7"/>
      <c r="Z433" s="7"/>
      <c r="AA433" s="7"/>
      <c r="AB433" s="7"/>
      <c r="AC433" s="7"/>
      <c r="AD433" s="7"/>
      <c r="AE433" s="8"/>
      <c r="AF433" s="8"/>
      <c r="AG433" s="7"/>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7">
        <v>4153</v>
      </c>
      <c r="Q434" s="3"/>
      <c r="R434" s="3"/>
      <c r="S434" s="6"/>
      <c r="T434" s="7"/>
      <c r="U434" s="7"/>
      <c r="V434" s="7"/>
      <c r="W434" s="7"/>
      <c r="X434" s="7"/>
      <c r="Y434" s="7"/>
      <c r="Z434" s="7"/>
      <c r="AA434" s="7"/>
      <c r="AB434" s="7"/>
      <c r="AC434" s="7"/>
      <c r="AD434" s="7"/>
      <c r="AE434" s="8"/>
      <c r="AF434" s="8"/>
      <c r="AG434" s="7"/>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7">
        <v>4379</v>
      </c>
      <c r="Q435" s="3"/>
      <c r="R435" s="3"/>
      <c r="S435" s="6"/>
      <c r="T435" s="7"/>
      <c r="U435" s="7"/>
      <c r="V435" s="7"/>
      <c r="W435" s="7"/>
      <c r="X435" s="7"/>
      <c r="Y435" s="7"/>
      <c r="Z435" s="7"/>
      <c r="AA435" s="7"/>
      <c r="AB435" s="7"/>
      <c r="AC435" s="7"/>
      <c r="AD435" s="7"/>
      <c r="AE435" s="8"/>
      <c r="AF435" s="8"/>
      <c r="AG435" s="7"/>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7">
        <v>4754</v>
      </c>
      <c r="Q436" s="3"/>
      <c r="R436" s="3"/>
      <c r="S436" s="6"/>
      <c r="T436" s="7"/>
      <c r="U436" s="7"/>
      <c r="V436" s="7"/>
      <c r="W436" s="7"/>
      <c r="X436" s="7"/>
      <c r="Y436" s="7"/>
      <c r="Z436" s="7"/>
      <c r="AA436" s="7"/>
      <c r="AB436" s="7"/>
      <c r="AC436" s="7"/>
      <c r="AD436" s="7"/>
      <c r="AE436" s="8"/>
      <c r="AF436" s="8"/>
      <c r="AG436" s="7"/>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7">
        <v>4779</v>
      </c>
      <c r="Q437" s="3"/>
      <c r="R437" s="3"/>
      <c r="S437" s="6"/>
      <c r="T437" s="7"/>
      <c r="U437" s="7"/>
      <c r="V437" s="7"/>
      <c r="W437" s="7"/>
      <c r="X437" s="7"/>
      <c r="Y437" s="7"/>
      <c r="Z437" s="7"/>
      <c r="AA437" s="7"/>
      <c r="AB437" s="7"/>
      <c r="AC437" s="7"/>
      <c r="AD437" s="7"/>
      <c r="AE437" s="8"/>
      <c r="AF437" s="8"/>
      <c r="AG437" s="7"/>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7">
        <v>4734</v>
      </c>
      <c r="Q438" s="3"/>
      <c r="R438" s="3"/>
      <c r="S438" s="6"/>
      <c r="T438" s="7"/>
      <c r="U438" s="7"/>
      <c r="V438" s="7"/>
      <c r="W438" s="7"/>
      <c r="X438" s="7"/>
      <c r="Y438" s="7"/>
      <c r="Z438" s="7"/>
      <c r="AA438" s="7"/>
      <c r="AB438" s="7"/>
      <c r="AC438" s="7"/>
      <c r="AD438" s="7"/>
      <c r="AE438" s="8"/>
      <c r="AF438" s="8"/>
      <c r="AG438" s="7"/>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7">
        <v>4433</v>
      </c>
      <c r="Q439" s="3"/>
      <c r="R439" s="3"/>
      <c r="S439" s="6"/>
      <c r="T439" s="7"/>
      <c r="U439" s="7"/>
      <c r="V439" s="7"/>
      <c r="W439" s="7"/>
      <c r="X439" s="7"/>
      <c r="Y439" s="7"/>
      <c r="Z439" s="7"/>
      <c r="AA439" s="7"/>
      <c r="AB439" s="7"/>
      <c r="AC439" s="7"/>
      <c r="AD439" s="7"/>
      <c r="AE439" s="8"/>
      <c r="AF439" s="8"/>
      <c r="AG439" s="7"/>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7">
        <v>5040</v>
      </c>
      <c r="Q440" s="3"/>
      <c r="R440" s="3"/>
      <c r="S440" s="6"/>
      <c r="T440" s="7"/>
      <c r="U440" s="7"/>
      <c r="V440" s="7"/>
      <c r="W440" s="7"/>
      <c r="X440" s="7"/>
      <c r="Y440" s="7"/>
      <c r="Z440" s="7"/>
      <c r="AA440" s="7"/>
      <c r="AB440" s="7"/>
      <c r="AC440" s="7"/>
      <c r="AD440" s="7"/>
      <c r="AE440" s="8"/>
      <c r="AF440" s="8"/>
      <c r="AG440" s="7"/>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7">
        <v>6141</v>
      </c>
      <c r="Q441" s="3"/>
      <c r="R441" s="3"/>
      <c r="S441" s="6"/>
      <c r="T441" s="7"/>
      <c r="U441" s="7"/>
      <c r="V441" s="7"/>
      <c r="W441" s="7"/>
      <c r="X441" s="7"/>
      <c r="Y441" s="7"/>
      <c r="Z441" s="7"/>
      <c r="AA441" s="7"/>
      <c r="AB441" s="7"/>
      <c r="AC441" s="7"/>
      <c r="AD441" s="7"/>
      <c r="AE441" s="8"/>
      <c r="AF441" s="8"/>
      <c r="AG441" s="7"/>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7">
        <v>5101</v>
      </c>
      <c r="Q442" s="3"/>
      <c r="R442" s="3"/>
      <c r="S442" s="6"/>
      <c r="T442" s="7"/>
      <c r="U442" s="7"/>
      <c r="V442" s="7"/>
      <c r="W442" s="7"/>
      <c r="X442" s="7"/>
      <c r="Y442" s="7"/>
      <c r="Z442" s="7"/>
      <c r="AA442" s="7"/>
      <c r="AB442" s="7"/>
      <c r="AC442" s="7"/>
      <c r="AD442" s="7"/>
      <c r="AE442" s="8"/>
      <c r="AF442" s="8"/>
      <c r="AG442" s="7"/>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7">
        <v>4931</v>
      </c>
      <c r="Q443" s="3"/>
      <c r="R443" s="3"/>
      <c r="S443" s="6"/>
      <c r="T443" s="7"/>
      <c r="U443" s="7"/>
      <c r="V443" s="7"/>
      <c r="W443" s="7"/>
      <c r="X443" s="7"/>
      <c r="Y443" s="7"/>
      <c r="Z443" s="7"/>
      <c r="AA443" s="7"/>
      <c r="AB443" s="7"/>
      <c r="AC443" s="7"/>
      <c r="AD443" s="7"/>
      <c r="AE443" s="8"/>
      <c r="AF443" s="8"/>
      <c r="AG443" s="7"/>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7">
        <v>4283</v>
      </c>
      <c r="Q444" s="3"/>
      <c r="R444" s="3"/>
      <c r="S444" s="6"/>
      <c r="T444" s="7"/>
      <c r="U444" s="7"/>
      <c r="V444" s="7"/>
      <c r="W444" s="7"/>
      <c r="X444" s="7"/>
      <c r="Y444" s="7"/>
      <c r="Z444" s="7"/>
      <c r="AA444" s="7"/>
      <c r="AB444" s="7"/>
      <c r="AC444" s="7"/>
      <c r="AD444" s="7"/>
      <c r="AE444" s="8"/>
      <c r="AF444" s="8"/>
      <c r="AG444" s="7"/>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7">
        <v>4507</v>
      </c>
      <c r="Q445" s="3"/>
      <c r="R445" s="3"/>
      <c r="S445" s="6"/>
      <c r="T445" s="7"/>
      <c r="U445" s="7"/>
      <c r="V445" s="7"/>
      <c r="W445" s="7"/>
      <c r="X445" s="7"/>
      <c r="Y445" s="7"/>
      <c r="Z445" s="7"/>
      <c r="AA445" s="7"/>
      <c r="AB445" s="7"/>
      <c r="AC445" s="7"/>
      <c r="AD445" s="7"/>
      <c r="AE445" s="8"/>
      <c r="AF445" s="8"/>
      <c r="AG445" s="7"/>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7">
        <v>4230</v>
      </c>
      <c r="Q446" s="3"/>
      <c r="R446" s="3"/>
      <c r="S446" s="6"/>
      <c r="T446" s="7"/>
      <c r="U446" s="7"/>
      <c r="V446" s="7"/>
      <c r="W446" s="7"/>
      <c r="X446" s="7"/>
      <c r="Y446" s="7"/>
      <c r="Z446" s="7"/>
      <c r="AA446" s="7"/>
      <c r="AB446" s="7"/>
      <c r="AC446" s="7"/>
      <c r="AD446" s="7"/>
      <c r="AE446" s="8"/>
      <c r="AF446" s="8"/>
      <c r="AG446" s="7"/>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7">
        <v>3985</v>
      </c>
      <c r="Q447" s="3"/>
      <c r="R447" s="3"/>
      <c r="S447" s="6"/>
      <c r="T447" s="7"/>
      <c r="U447" s="7"/>
      <c r="V447" s="7"/>
      <c r="W447" s="7"/>
      <c r="X447" s="7"/>
      <c r="Y447" s="7"/>
      <c r="Z447" s="7"/>
      <c r="AA447" s="7"/>
      <c r="AB447" s="7"/>
      <c r="AC447" s="7"/>
      <c r="AD447" s="7"/>
      <c r="AE447" s="8"/>
      <c r="AF447" s="8"/>
      <c r="AG447" s="7"/>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7">
        <v>3772</v>
      </c>
      <c r="Q448" s="3"/>
      <c r="R448" s="3"/>
      <c r="S448" s="6"/>
      <c r="T448" s="7"/>
      <c r="U448" s="7"/>
      <c r="V448" s="7"/>
      <c r="W448" s="7"/>
      <c r="X448" s="7"/>
      <c r="Y448" s="7"/>
      <c r="Z448" s="7"/>
      <c r="AA448" s="7"/>
      <c r="AB448" s="7"/>
      <c r="AC448" s="7"/>
      <c r="AD448" s="7"/>
      <c r="AE448" s="8"/>
      <c r="AF448" s="8"/>
      <c r="AG448" s="7"/>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7">
        <v>3949</v>
      </c>
      <c r="Q449" s="3"/>
      <c r="R449" s="3"/>
      <c r="S449" s="6"/>
      <c r="T449" s="7"/>
      <c r="U449" s="7"/>
      <c r="V449" s="7"/>
      <c r="W449" s="7"/>
      <c r="X449" s="7"/>
      <c r="Y449" s="7"/>
      <c r="Z449" s="7"/>
      <c r="AA449" s="7"/>
      <c r="AB449" s="7"/>
      <c r="AC449" s="7"/>
      <c r="AD449" s="7"/>
      <c r="AE449" s="8"/>
      <c r="AF449" s="8"/>
      <c r="AG449" s="7"/>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7">
        <v>3411</v>
      </c>
      <c r="Q450" s="3"/>
      <c r="R450" s="3"/>
      <c r="S450" s="6"/>
      <c r="T450" s="7"/>
      <c r="U450" s="7"/>
      <c r="V450" s="7"/>
      <c r="W450" s="7"/>
      <c r="X450" s="7"/>
      <c r="Y450" s="7"/>
      <c r="Z450" s="7"/>
      <c r="AA450" s="7"/>
      <c r="AB450" s="7"/>
      <c r="AC450" s="7"/>
      <c r="AD450" s="7"/>
      <c r="AE450" s="8"/>
      <c r="AF450" s="8"/>
      <c r="AG450" s="7"/>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7">
        <v>3800</v>
      </c>
      <c r="Q451" s="3"/>
      <c r="R451" s="3"/>
      <c r="S451" s="6"/>
      <c r="T451" s="7"/>
      <c r="U451" s="7"/>
      <c r="V451" s="7"/>
      <c r="W451" s="7"/>
      <c r="X451" s="7"/>
      <c r="Y451" s="7"/>
      <c r="Z451" s="7"/>
      <c r="AA451" s="7"/>
      <c r="AB451" s="7"/>
      <c r="AC451" s="7"/>
      <c r="AD451" s="7"/>
      <c r="AE451" s="8"/>
      <c r="AF451" s="8"/>
      <c r="AG451" s="7"/>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7">
        <v>3696</v>
      </c>
      <c r="Q452" s="3"/>
      <c r="R452" s="3"/>
      <c r="S452" s="6"/>
      <c r="T452" s="7"/>
      <c r="U452" s="7"/>
      <c r="V452" s="7"/>
      <c r="W452" s="7"/>
      <c r="X452" s="7"/>
      <c r="Y452" s="7"/>
      <c r="Z452" s="7"/>
      <c r="AA452" s="7"/>
      <c r="AB452" s="7"/>
      <c r="AC452" s="7"/>
      <c r="AD452" s="7"/>
      <c r="AE452" s="8"/>
      <c r="AF452" s="8"/>
      <c r="AG452" s="7"/>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7">
        <v>3717</v>
      </c>
      <c r="Q453" s="3"/>
      <c r="R453" s="3"/>
      <c r="S453" s="6"/>
      <c r="T453" s="7"/>
      <c r="U453" s="7"/>
      <c r="V453" s="7"/>
      <c r="W453" s="7"/>
      <c r="X453" s="7"/>
      <c r="Y453" s="7"/>
      <c r="Z453" s="7"/>
      <c r="AA453" s="7"/>
      <c r="AB453" s="7"/>
      <c r="AC453" s="7"/>
      <c r="AD453" s="7"/>
      <c r="AE453" s="8"/>
      <c r="AF453" s="8"/>
      <c r="AG453" s="7"/>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7">
        <v>4411</v>
      </c>
      <c r="Q454" s="3"/>
      <c r="R454" s="3"/>
      <c r="S454" s="6"/>
      <c r="T454" s="7"/>
      <c r="U454" s="7"/>
      <c r="V454" s="7"/>
      <c r="W454" s="7"/>
      <c r="X454" s="7"/>
      <c r="Y454" s="7"/>
      <c r="Z454" s="7"/>
      <c r="AA454" s="7"/>
      <c r="AB454" s="7"/>
      <c r="AC454" s="7"/>
      <c r="AD454" s="7"/>
      <c r="AE454" s="8"/>
      <c r="AF454" s="8"/>
      <c r="AG454" s="7"/>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7">
        <v>3822</v>
      </c>
      <c r="Q455" s="3"/>
      <c r="R455" s="3"/>
      <c r="S455" s="6"/>
      <c r="T455" s="7"/>
      <c r="U455" s="7"/>
      <c r="V455" s="7"/>
      <c r="W455" s="7"/>
      <c r="X455" s="7"/>
      <c r="Y455" s="7"/>
      <c r="Z455" s="7"/>
      <c r="AA455" s="7"/>
      <c r="AB455" s="7"/>
      <c r="AC455" s="7"/>
      <c r="AD455" s="7"/>
      <c r="AE455" s="8"/>
      <c r="AF455" s="8"/>
      <c r="AG455" s="7"/>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7">
        <v>4084</v>
      </c>
      <c r="Q456" s="3"/>
      <c r="R456" s="3"/>
      <c r="S456" s="6"/>
      <c r="T456" s="7"/>
      <c r="U456" s="7"/>
      <c r="V456" s="7"/>
      <c r="W456" s="7"/>
      <c r="X456" s="7"/>
      <c r="Y456" s="7"/>
      <c r="Z456" s="7"/>
      <c r="AA456" s="7"/>
      <c r="AB456" s="7"/>
      <c r="AC456" s="7"/>
      <c r="AD456" s="7"/>
      <c r="AE456" s="8"/>
      <c r="AF456" s="8"/>
      <c r="AG456" s="7"/>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7">
        <v>3760</v>
      </c>
      <c r="Q457" s="3"/>
      <c r="R457" s="3"/>
      <c r="S457" s="6"/>
      <c r="T457" s="7"/>
      <c r="U457" s="7"/>
      <c r="V457" s="7"/>
      <c r="W457" s="7"/>
      <c r="X457" s="7"/>
      <c r="Y457" s="7"/>
      <c r="Z457" s="7"/>
      <c r="AA457" s="7"/>
      <c r="AB457" s="7"/>
      <c r="AC457" s="7"/>
      <c r="AD457" s="7"/>
      <c r="AE457" s="8"/>
      <c r="AF457" s="8"/>
      <c r="AG457" s="7"/>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7">
        <v>4159</v>
      </c>
      <c r="Q458" s="3"/>
      <c r="R458" s="3"/>
      <c r="S458" s="6"/>
      <c r="T458" s="7"/>
      <c r="U458" s="7"/>
      <c r="V458" s="7"/>
      <c r="W458" s="7"/>
      <c r="X458" s="7"/>
      <c r="Y458" s="7"/>
      <c r="Z458" s="7"/>
      <c r="AA458" s="7"/>
      <c r="AB458" s="7"/>
      <c r="AC458" s="7"/>
      <c r="AD458" s="7"/>
      <c r="AE458" s="8"/>
      <c r="AF458" s="8"/>
      <c r="AG458" s="7"/>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7">
        <v>3259</v>
      </c>
      <c r="Q459" s="3"/>
      <c r="R459" s="3"/>
      <c r="S459" s="6"/>
      <c r="T459" s="7"/>
      <c r="U459" s="7"/>
      <c r="V459" s="7"/>
      <c r="W459" s="7"/>
      <c r="X459" s="7"/>
      <c r="Y459" s="7"/>
      <c r="Z459" s="7"/>
      <c r="AA459" s="7"/>
      <c r="AB459" s="7"/>
      <c r="AC459" s="7"/>
      <c r="AD459" s="7"/>
      <c r="AE459" s="8"/>
      <c r="AF459" s="8"/>
      <c r="AG459" s="7"/>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7">
        <v>4217</v>
      </c>
      <c r="Q460" s="3"/>
      <c r="R460" s="3"/>
      <c r="S460" s="6"/>
      <c r="T460" s="7"/>
      <c r="U460" s="7"/>
      <c r="V460" s="7"/>
      <c r="W460" s="7"/>
      <c r="X460" s="7"/>
      <c r="Y460" s="7"/>
      <c r="Z460" s="7"/>
      <c r="AA460" s="7"/>
      <c r="AB460" s="7"/>
      <c r="AC460" s="7"/>
      <c r="AD460" s="7"/>
      <c r="AE460" s="8"/>
      <c r="AF460" s="8"/>
      <c r="AG460" s="7"/>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7">
        <v>2675</v>
      </c>
      <c r="Q461" s="3"/>
      <c r="R461" s="3"/>
      <c r="S461" s="6"/>
      <c r="T461" s="7"/>
      <c r="U461" s="7"/>
      <c r="V461" s="7"/>
      <c r="W461" s="7"/>
      <c r="X461" s="7"/>
      <c r="Y461" s="7"/>
      <c r="Z461" s="7"/>
      <c r="AA461" s="7"/>
      <c r="AB461" s="7"/>
      <c r="AC461" s="7"/>
      <c r="AD461" s="7"/>
      <c r="AE461" s="8"/>
      <c r="AF461" s="8"/>
      <c r="AG461" s="7"/>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7">
        <v>4047</v>
      </c>
      <c r="Q462" s="3"/>
      <c r="R462" s="3"/>
      <c r="S462" s="6"/>
      <c r="T462" s="7"/>
      <c r="U462" s="7"/>
      <c r="V462" s="7"/>
      <c r="W462" s="7"/>
      <c r="X462" s="7"/>
      <c r="Y462" s="7"/>
      <c r="Z462" s="7"/>
      <c r="AA462" s="7"/>
      <c r="AB462" s="7"/>
      <c r="AC462" s="7"/>
      <c r="AD462" s="7"/>
      <c r="AE462" s="8"/>
      <c r="AF462" s="8"/>
      <c r="AG462" s="7"/>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7">
        <v>3886</v>
      </c>
      <c r="Q463" s="3"/>
      <c r="R463" s="3"/>
      <c r="S463" s="6"/>
      <c r="T463" s="7"/>
      <c r="U463" s="7"/>
      <c r="V463" s="7"/>
      <c r="W463" s="7"/>
      <c r="X463" s="7"/>
      <c r="Y463" s="7"/>
      <c r="Z463" s="7"/>
      <c r="AA463" s="7"/>
      <c r="AB463" s="7"/>
      <c r="AC463" s="7"/>
      <c r="AD463" s="7"/>
      <c r="AE463" s="8"/>
      <c r="AF463" s="8"/>
      <c r="AG463" s="7"/>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7">
        <v>3619</v>
      </c>
      <c r="Q464" s="3"/>
      <c r="R464" s="3"/>
      <c r="S464" s="6"/>
      <c r="T464" s="7"/>
      <c r="U464" s="7"/>
      <c r="V464" s="7"/>
      <c r="W464" s="7"/>
      <c r="X464" s="7"/>
      <c r="Y464" s="7"/>
      <c r="Z464" s="7"/>
      <c r="AA464" s="7"/>
      <c r="AB464" s="7"/>
      <c r="AC464" s="7"/>
      <c r="AD464" s="7"/>
      <c r="AE464" s="8"/>
      <c r="AF464" s="8"/>
      <c r="AG464" s="7"/>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7">
        <v>3299</v>
      </c>
      <c r="Q465" s="3"/>
      <c r="R465" s="3"/>
      <c r="S465" s="6"/>
      <c r="T465" s="7"/>
      <c r="U465" s="7"/>
      <c r="V465" s="7"/>
      <c r="W465" s="7"/>
      <c r="X465" s="7"/>
      <c r="Y465" s="7"/>
      <c r="Z465" s="7"/>
      <c r="AA465" s="7"/>
      <c r="AB465" s="7"/>
      <c r="AC465" s="7"/>
      <c r="AD465" s="7"/>
      <c r="AE465" s="8"/>
      <c r="AF465" s="8"/>
      <c r="AG465" s="7"/>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7">
        <v>2787</v>
      </c>
      <c r="Q466" s="3"/>
      <c r="R466" s="3"/>
      <c r="S466" s="6"/>
      <c r="T466" s="7"/>
      <c r="U466" s="7"/>
      <c r="V466" s="7"/>
      <c r="W466" s="7"/>
      <c r="X466" s="7"/>
      <c r="Y466" s="7"/>
      <c r="Z466" s="7"/>
      <c r="AA466" s="7"/>
      <c r="AB466" s="7"/>
      <c r="AC466" s="7"/>
      <c r="AD466" s="7"/>
      <c r="AE466" s="8"/>
      <c r="AF466" s="8"/>
      <c r="AG466" s="7"/>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7">
        <v>3626</v>
      </c>
      <c r="Q467" s="3"/>
      <c r="R467" s="3"/>
      <c r="S467" s="6"/>
      <c r="T467" s="7"/>
      <c r="U467" s="7"/>
      <c r="V467" s="7"/>
      <c r="W467" s="7"/>
      <c r="X467" s="7"/>
      <c r="Y467" s="7"/>
      <c r="Z467" s="7"/>
      <c r="AA467" s="7"/>
      <c r="AB467" s="7"/>
      <c r="AC467" s="7"/>
      <c r="AD467" s="7"/>
      <c r="AE467" s="8"/>
      <c r="AF467" s="8"/>
      <c r="AG467" s="7"/>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7">
        <v>4671</v>
      </c>
      <c r="Q468" s="3"/>
      <c r="R468" s="3"/>
      <c r="S468" s="6"/>
      <c r="T468" s="7"/>
      <c r="U468" s="7"/>
      <c r="V468" s="7"/>
      <c r="W468" s="7"/>
      <c r="X468" s="7"/>
      <c r="Y468" s="7"/>
      <c r="Z468" s="7"/>
      <c r="AA468" s="7"/>
      <c r="AB468" s="7"/>
      <c r="AC468" s="7"/>
      <c r="AD468" s="7"/>
      <c r="AE468" s="8"/>
      <c r="AF468" s="8"/>
      <c r="AG468" s="7"/>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7">
        <v>3614</v>
      </c>
      <c r="Q469" s="3"/>
      <c r="R469" s="3"/>
      <c r="S469" s="6"/>
      <c r="T469" s="7"/>
      <c r="U469" s="7"/>
      <c r="V469" s="7"/>
      <c r="W469" s="7"/>
      <c r="X469" s="7"/>
      <c r="Y469" s="7"/>
      <c r="Z469" s="7"/>
      <c r="AA469" s="7"/>
      <c r="AB469" s="7"/>
      <c r="AC469" s="7"/>
      <c r="AD469" s="7"/>
      <c r="AE469" s="8"/>
      <c r="AF469" s="8"/>
      <c r="AG469" s="7"/>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7">
        <v>4154</v>
      </c>
      <c r="Q470" s="3"/>
      <c r="R470" s="3"/>
      <c r="S470" s="6"/>
      <c r="T470" s="7"/>
      <c r="U470" s="7"/>
      <c r="V470" s="7"/>
      <c r="W470" s="7"/>
      <c r="X470" s="7"/>
      <c r="Y470" s="7"/>
      <c r="Z470" s="7"/>
      <c r="AA470" s="7"/>
      <c r="AB470" s="7"/>
      <c r="AC470" s="7"/>
      <c r="AD470" s="7"/>
      <c r="AE470" s="8"/>
      <c r="AF470" s="8"/>
      <c r="AG470" s="7"/>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7">
        <v>4071</v>
      </c>
      <c r="Q471" s="3"/>
      <c r="R471" s="3"/>
      <c r="S471" s="6"/>
      <c r="T471" s="7"/>
      <c r="U471" s="7"/>
      <c r="V471" s="7"/>
      <c r="W471" s="7"/>
      <c r="X471" s="7"/>
      <c r="Y471" s="7"/>
      <c r="Z471" s="7"/>
      <c r="AA471" s="7"/>
      <c r="AB471" s="7"/>
      <c r="AC471" s="7"/>
      <c r="AD471" s="7"/>
      <c r="AE471" s="8"/>
      <c r="AF471" s="8"/>
      <c r="AG471" s="7"/>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7">
        <v>3935</v>
      </c>
      <c r="Q472" s="3"/>
      <c r="R472" s="3"/>
      <c r="S472" s="6"/>
      <c r="T472" s="7"/>
      <c r="U472" s="7"/>
      <c r="V472" s="7"/>
      <c r="W472" s="7"/>
      <c r="X472" s="7"/>
      <c r="Y472" s="7"/>
      <c r="Z472" s="7"/>
      <c r="AA472" s="7"/>
      <c r="AB472" s="7"/>
      <c r="AC472" s="7"/>
      <c r="AD472" s="7"/>
      <c r="AE472" s="8"/>
      <c r="AF472" s="8"/>
      <c r="AG472" s="7"/>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7">
        <v>3454</v>
      </c>
      <c r="Q473" s="3"/>
      <c r="R473" s="3"/>
      <c r="S473" s="6"/>
      <c r="T473" s="7"/>
      <c r="U473" s="7"/>
      <c r="V473" s="7"/>
      <c r="W473" s="7"/>
      <c r="X473" s="7"/>
      <c r="Y473" s="7"/>
      <c r="Z473" s="7"/>
      <c r="AA473" s="7"/>
      <c r="AB473" s="7"/>
      <c r="AC473" s="7"/>
      <c r="AD473" s="7"/>
      <c r="AE473" s="8"/>
      <c r="AF473" s="8"/>
      <c r="AG473" s="7"/>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7">
        <v>3270</v>
      </c>
      <c r="Q474" s="3"/>
      <c r="R474" s="3"/>
      <c r="S474" s="6"/>
      <c r="T474" s="7"/>
      <c r="U474" s="7"/>
      <c r="V474" s="7"/>
      <c r="W474" s="7"/>
      <c r="X474" s="7"/>
      <c r="Y474" s="7"/>
      <c r="Z474" s="7"/>
      <c r="AA474" s="7"/>
      <c r="AB474" s="7"/>
      <c r="AC474" s="7"/>
      <c r="AD474" s="7"/>
      <c r="AE474" s="8"/>
      <c r="AF474" s="8"/>
      <c r="AG474" s="7"/>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7">
        <v>3641</v>
      </c>
      <c r="Q475" s="3"/>
      <c r="R475" s="3"/>
      <c r="S475" s="6"/>
      <c r="T475" s="7"/>
      <c r="U475" s="7"/>
      <c r="V475" s="7"/>
      <c r="W475" s="7"/>
      <c r="X475" s="7"/>
      <c r="Y475" s="7"/>
      <c r="Z475" s="7"/>
      <c r="AA475" s="7"/>
      <c r="AB475" s="7"/>
      <c r="AC475" s="7"/>
      <c r="AD475" s="7"/>
      <c r="AE475" s="8"/>
      <c r="AF475" s="8"/>
      <c r="AG475" s="7"/>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7">
        <v>3856</v>
      </c>
      <c r="Q476" s="3"/>
      <c r="R476" s="3"/>
      <c r="S476" s="6"/>
      <c r="T476" s="7"/>
      <c r="U476" s="7"/>
      <c r="V476" s="7"/>
      <c r="W476" s="7"/>
      <c r="X476" s="7"/>
      <c r="Y476" s="7"/>
      <c r="Z476" s="7"/>
      <c r="AA476" s="7"/>
      <c r="AB476" s="7"/>
      <c r="AC476" s="7"/>
      <c r="AD476" s="7"/>
      <c r="AE476" s="8"/>
      <c r="AF476" s="8"/>
      <c r="AG476" s="7"/>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7">
        <v>3688</v>
      </c>
      <c r="Q477" s="3"/>
      <c r="R477" s="3"/>
      <c r="S477" s="6"/>
      <c r="T477" s="7"/>
      <c r="U477" s="7"/>
      <c r="V477" s="7"/>
      <c r="W477" s="7"/>
      <c r="X477" s="7"/>
      <c r="Y477" s="7"/>
      <c r="Z477" s="7"/>
      <c r="AA477" s="7"/>
      <c r="AB477" s="7"/>
      <c r="AC477" s="7"/>
      <c r="AD477" s="7"/>
      <c r="AE477" s="8"/>
      <c r="AF477" s="8"/>
      <c r="AG477" s="7"/>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7">
        <v>3927</v>
      </c>
      <c r="Q478" s="3"/>
      <c r="R478" s="3"/>
      <c r="S478" s="6"/>
      <c r="T478" s="7"/>
      <c r="U478" s="7"/>
      <c r="V478" s="7"/>
      <c r="W478" s="7"/>
      <c r="X478" s="7"/>
      <c r="Y478" s="7"/>
      <c r="Z478" s="7"/>
      <c r="AA478" s="7"/>
      <c r="AB478" s="7"/>
      <c r="AC478" s="7"/>
      <c r="AD478" s="7"/>
      <c r="AE478" s="8"/>
      <c r="AF478" s="8"/>
      <c r="AG478" s="7"/>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7">
        <v>3869</v>
      </c>
      <c r="Q479" s="3"/>
      <c r="R479" s="3"/>
      <c r="S479" s="6"/>
      <c r="T479" s="7"/>
      <c r="U479" s="7"/>
      <c r="V479" s="7"/>
      <c r="W479" s="7"/>
      <c r="X479" s="7"/>
      <c r="Y479" s="7"/>
      <c r="Z479" s="7"/>
      <c r="AA479" s="7"/>
      <c r="AB479" s="7"/>
      <c r="AC479" s="7"/>
      <c r="AD479" s="7"/>
      <c r="AE479" s="8"/>
      <c r="AF479" s="8"/>
      <c r="AG479" s="7"/>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7">
        <v>6215</v>
      </c>
      <c r="Q480" s="3"/>
      <c r="R480" s="3"/>
      <c r="S480" s="6"/>
      <c r="T480" s="7"/>
      <c r="U480" s="7"/>
      <c r="V480" s="7"/>
      <c r="W480" s="7"/>
      <c r="X480" s="7"/>
      <c r="Y480" s="7"/>
      <c r="Z480" s="7"/>
      <c r="AA480" s="7"/>
      <c r="AB480" s="7"/>
      <c r="AC480" s="7"/>
      <c r="AD480" s="7"/>
      <c r="AE480" s="8"/>
      <c r="AF480" s="8"/>
      <c r="AG480" s="7"/>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7">
        <v>5935</v>
      </c>
      <c r="Q481" s="3"/>
      <c r="R481" s="3"/>
      <c r="S481" s="6"/>
      <c r="T481" s="7"/>
      <c r="U481" s="7"/>
      <c r="V481" s="7"/>
      <c r="W481" s="7"/>
      <c r="X481" s="7"/>
      <c r="Y481" s="7"/>
      <c r="Z481" s="7"/>
      <c r="AA481" s="7"/>
      <c r="AB481" s="7"/>
      <c r="AC481" s="7"/>
      <c r="AD481" s="7"/>
      <c r="AE481" s="8"/>
      <c r="AF481" s="8"/>
      <c r="AG481" s="7"/>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7">
        <v>5981</v>
      </c>
      <c r="Q482" s="3"/>
      <c r="R482" s="3"/>
      <c r="S482" s="6"/>
      <c r="T482" s="7"/>
      <c r="U482" s="7"/>
      <c r="V482" s="7"/>
      <c r="W482" s="7"/>
      <c r="X482" s="7"/>
      <c r="Y482" s="7"/>
      <c r="Z482" s="7"/>
      <c r="AA482" s="7"/>
      <c r="AB482" s="7"/>
      <c r="AC482" s="7"/>
      <c r="AD482" s="7"/>
      <c r="AE482" s="8"/>
      <c r="AF482" s="8"/>
      <c r="AG482" s="7"/>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7">
        <v>4510</v>
      </c>
      <c r="Q483" s="3"/>
      <c r="R483" s="3"/>
      <c r="S483" s="6"/>
      <c r="T483" s="7"/>
      <c r="U483" s="7"/>
      <c r="V483" s="7"/>
      <c r="W483" s="7"/>
      <c r="X483" s="7"/>
      <c r="Y483" s="7"/>
      <c r="Z483" s="7"/>
      <c r="AA483" s="7"/>
      <c r="AB483" s="7"/>
      <c r="AC483" s="7"/>
      <c r="AD483" s="7"/>
      <c r="AE483" s="8"/>
      <c r="AF483" s="8"/>
      <c r="AG483" s="7"/>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7">
        <v>4660</v>
      </c>
      <c r="Q484" s="3"/>
      <c r="R484" s="3"/>
      <c r="S484" s="6"/>
      <c r="T484" s="7"/>
      <c r="U484" s="7"/>
      <c r="V484" s="7"/>
      <c r="W484" s="7"/>
      <c r="X484" s="7"/>
      <c r="Y484" s="7"/>
      <c r="Z484" s="7"/>
      <c r="AA484" s="7"/>
      <c r="AB484" s="7"/>
      <c r="AC484" s="7"/>
      <c r="AD484" s="7"/>
      <c r="AE484" s="8"/>
      <c r="AF484" s="8"/>
      <c r="AG484" s="7"/>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7">
        <v>4148</v>
      </c>
      <c r="Q485" s="3"/>
      <c r="R485" s="3"/>
      <c r="S485" s="6"/>
      <c r="T485" s="7"/>
      <c r="U485" s="7"/>
      <c r="V485" s="7"/>
      <c r="W485" s="7"/>
      <c r="X485" s="7"/>
      <c r="Y485" s="7"/>
      <c r="Z485" s="7"/>
      <c r="AA485" s="7"/>
      <c r="AB485" s="7"/>
      <c r="AC485" s="7"/>
      <c r="AD485" s="7"/>
      <c r="AE485" s="8"/>
      <c r="AF485" s="8"/>
      <c r="AG485" s="7"/>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7">
        <v>4409</v>
      </c>
      <c r="Q486" s="3"/>
      <c r="R486" s="3"/>
      <c r="S486" s="6"/>
      <c r="T486" s="7"/>
      <c r="U486" s="7"/>
      <c r="V486" s="7"/>
      <c r="W486" s="7"/>
      <c r="X486" s="7"/>
      <c r="Y486" s="7"/>
      <c r="Z486" s="7"/>
      <c r="AA486" s="7"/>
      <c r="AB486" s="7"/>
      <c r="AC486" s="7"/>
      <c r="AD486" s="7"/>
      <c r="AE486" s="8"/>
      <c r="AF486" s="8"/>
      <c r="AG486" s="7"/>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7">
        <v>4443</v>
      </c>
      <c r="Q487" s="3"/>
      <c r="R487" s="3"/>
      <c r="S487" s="6"/>
      <c r="T487" s="7"/>
      <c r="U487" s="7"/>
      <c r="V487" s="7"/>
      <c r="W487" s="7"/>
      <c r="X487" s="7"/>
      <c r="Y487" s="7"/>
      <c r="Z487" s="7"/>
      <c r="AA487" s="7"/>
      <c r="AB487" s="7"/>
      <c r="AC487" s="7"/>
      <c r="AD487" s="7"/>
      <c r="AE487" s="8"/>
      <c r="AF487" s="8"/>
      <c r="AG487" s="7"/>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7">
        <v>4300</v>
      </c>
      <c r="Q488" s="3"/>
      <c r="R488" s="3"/>
      <c r="S488" s="6"/>
      <c r="T488" s="7"/>
      <c r="U488" s="7"/>
      <c r="V488" s="7"/>
      <c r="W488" s="7"/>
      <c r="X488" s="7"/>
      <c r="Y488" s="7"/>
      <c r="Z488" s="7"/>
      <c r="AA488" s="7"/>
      <c r="AB488" s="7"/>
      <c r="AC488" s="7"/>
      <c r="AD488" s="7"/>
      <c r="AE488" s="8"/>
      <c r="AF488" s="8"/>
      <c r="AG488" s="7"/>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7">
        <v>4650</v>
      </c>
      <c r="Q489" s="3"/>
      <c r="R489" s="3"/>
      <c r="S489" s="6"/>
      <c r="T489" s="7"/>
      <c r="U489" s="7"/>
      <c r="V489" s="7"/>
      <c r="W489" s="7"/>
      <c r="X489" s="7"/>
      <c r="Y489" s="7"/>
      <c r="Z489" s="7"/>
      <c r="AA489" s="7"/>
      <c r="AB489" s="7"/>
      <c r="AC489" s="7"/>
      <c r="AD489" s="7"/>
      <c r="AE489" s="8"/>
      <c r="AF489" s="8"/>
      <c r="AG489" s="7"/>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7">
        <v>4298</v>
      </c>
      <c r="Q490" s="3"/>
      <c r="R490" s="3"/>
      <c r="S490" s="6"/>
      <c r="T490" s="7"/>
      <c r="U490" s="7"/>
      <c r="V490" s="7"/>
      <c r="W490" s="7"/>
      <c r="X490" s="7"/>
      <c r="Y490" s="7"/>
      <c r="Z490" s="7"/>
      <c r="AA490" s="7"/>
      <c r="AB490" s="7"/>
      <c r="AC490" s="7"/>
      <c r="AD490" s="7"/>
      <c r="AE490" s="8"/>
      <c r="AF490" s="8"/>
      <c r="AG490" s="7"/>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7">
        <v>4318</v>
      </c>
      <c r="Q491" s="3"/>
      <c r="R491" s="3"/>
      <c r="S491" s="6"/>
      <c r="T491" s="7"/>
      <c r="U491" s="7"/>
      <c r="V491" s="7"/>
      <c r="W491" s="7"/>
      <c r="X491" s="7"/>
      <c r="Y491" s="7"/>
      <c r="Z491" s="7"/>
      <c r="AA491" s="7"/>
      <c r="AB491" s="7"/>
      <c r="AC491" s="7"/>
      <c r="AD491" s="7"/>
      <c r="AE491" s="8"/>
      <c r="AF491" s="8"/>
      <c r="AG491" s="7"/>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7">
        <v>4586</v>
      </c>
      <c r="Q492" s="3"/>
      <c r="R492" s="3"/>
      <c r="S492" s="6"/>
      <c r="T492" s="7"/>
      <c r="U492" s="7"/>
      <c r="V492" s="7"/>
      <c r="W492" s="7"/>
      <c r="X492" s="7"/>
      <c r="Y492" s="7"/>
      <c r="Z492" s="7"/>
      <c r="AA492" s="7"/>
      <c r="AB492" s="7"/>
      <c r="AC492" s="7"/>
      <c r="AD492" s="7"/>
      <c r="AE492" s="8"/>
      <c r="AF492" s="8"/>
      <c r="AG492" s="7"/>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7">
        <v>5669</v>
      </c>
      <c r="Q493" s="3"/>
      <c r="R493" s="3"/>
      <c r="S493" s="6"/>
      <c r="T493" s="7"/>
      <c r="U493" s="7"/>
      <c r="V493" s="7"/>
      <c r="W493" s="7"/>
      <c r="X493" s="7"/>
      <c r="Y493" s="7"/>
      <c r="Z493" s="7"/>
      <c r="AA493" s="7"/>
      <c r="AB493" s="7"/>
      <c r="AC493" s="7"/>
      <c r="AD493" s="7"/>
      <c r="AE493" s="8"/>
      <c r="AF493" s="8"/>
      <c r="AG493" s="7"/>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7">
        <v>5041</v>
      </c>
      <c r="Q494" s="3"/>
      <c r="R494" s="3"/>
      <c r="S494" s="6"/>
      <c r="T494" s="7"/>
      <c r="U494" s="7"/>
      <c r="V494" s="7"/>
      <c r="W494" s="7"/>
      <c r="X494" s="7"/>
      <c r="Y494" s="7"/>
      <c r="Z494" s="7"/>
      <c r="AA494" s="7"/>
      <c r="AB494" s="7"/>
      <c r="AC494" s="7"/>
      <c r="AD494" s="7"/>
      <c r="AE494" s="8"/>
      <c r="AF494" s="8"/>
      <c r="AG494" s="7"/>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7">
        <v>4300</v>
      </c>
      <c r="Q495" s="3"/>
      <c r="R495" s="3"/>
      <c r="S495" s="6"/>
      <c r="T495" s="7"/>
      <c r="U495" s="7"/>
      <c r="V495" s="7"/>
      <c r="W495" s="7"/>
      <c r="X495" s="7"/>
      <c r="Y495" s="7"/>
      <c r="Z495" s="7"/>
      <c r="AA495" s="7"/>
      <c r="AB495" s="7"/>
      <c r="AC495" s="7"/>
      <c r="AD495" s="7"/>
      <c r="AE495" s="8"/>
      <c r="AF495" s="8"/>
      <c r="AG495" s="7"/>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7">
        <v>4120</v>
      </c>
      <c r="Q496" s="3"/>
      <c r="R496" s="3"/>
      <c r="S496" s="6"/>
      <c r="T496" s="7"/>
      <c r="U496" s="7"/>
      <c r="V496" s="7"/>
      <c r="W496" s="7"/>
      <c r="X496" s="7"/>
      <c r="Y496" s="7"/>
      <c r="Z496" s="7"/>
      <c r="AA496" s="7"/>
      <c r="AB496" s="7"/>
      <c r="AC496" s="7"/>
      <c r="AD496" s="7"/>
      <c r="AE496" s="8"/>
      <c r="AF496" s="8"/>
      <c r="AG496" s="7"/>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7">
        <v>3795</v>
      </c>
      <c r="Q497" s="3"/>
      <c r="R497" s="3"/>
      <c r="S497" s="6"/>
      <c r="T497" s="7"/>
      <c r="U497" s="7"/>
      <c r="V497" s="7"/>
      <c r="W497" s="7"/>
      <c r="X497" s="7"/>
      <c r="Y497" s="7"/>
      <c r="Z497" s="7"/>
      <c r="AA497" s="7"/>
      <c r="AB497" s="7"/>
      <c r="AC497" s="7"/>
      <c r="AD497" s="7"/>
      <c r="AE497" s="8"/>
      <c r="AF497" s="8"/>
      <c r="AG497" s="7"/>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7">
        <v>3828</v>
      </c>
      <c r="Q498" s="3"/>
      <c r="R498" s="3"/>
      <c r="S498" s="6"/>
      <c r="T498" s="7"/>
      <c r="U498" s="7"/>
      <c r="V498" s="7"/>
      <c r="W498" s="7"/>
      <c r="X498" s="7"/>
      <c r="Y498" s="7"/>
      <c r="Z498" s="7"/>
      <c r="AA498" s="7"/>
      <c r="AB498" s="7"/>
      <c r="AC498" s="7"/>
      <c r="AD498" s="7"/>
      <c r="AE498" s="8"/>
      <c r="AF498" s="8"/>
      <c r="AG498" s="7"/>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7">
        <v>3676</v>
      </c>
      <c r="Q499" s="3"/>
      <c r="R499" s="3"/>
      <c r="S499" s="6"/>
      <c r="T499" s="7"/>
      <c r="U499" s="7"/>
      <c r="V499" s="7"/>
      <c r="W499" s="7"/>
      <c r="X499" s="7"/>
      <c r="Y499" s="7"/>
      <c r="Z499" s="7"/>
      <c r="AA499" s="7"/>
      <c r="AB499" s="7"/>
      <c r="AC499" s="7"/>
      <c r="AD499" s="7"/>
      <c r="AE499" s="8"/>
      <c r="AF499" s="8"/>
      <c r="AG499" s="7"/>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7">
        <v>3465</v>
      </c>
      <c r="Q500" s="3"/>
      <c r="R500" s="3"/>
      <c r="S500" s="6"/>
      <c r="T500" s="7"/>
      <c r="U500" s="7"/>
      <c r="V500" s="7"/>
      <c r="W500" s="7"/>
      <c r="X500" s="7"/>
      <c r="Y500" s="7"/>
      <c r="Z500" s="7"/>
      <c r="AA500" s="7"/>
      <c r="AB500" s="7"/>
      <c r="AC500" s="7"/>
      <c r="AD500" s="7"/>
      <c r="AE500" s="8"/>
      <c r="AF500" s="8"/>
      <c r="AG500" s="7"/>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7">
        <f>3529+3</f>
        <v>3532</v>
      </c>
      <c r="Q501" s="3"/>
      <c r="R501" s="3"/>
      <c r="S501" s="6"/>
      <c r="T501" s="7"/>
      <c r="U501" s="7"/>
      <c r="V501" s="7"/>
      <c r="W501" s="7"/>
      <c r="X501" s="7"/>
      <c r="Y501" s="7"/>
      <c r="Z501" s="7"/>
      <c r="AA501" s="7"/>
      <c r="AB501" s="7"/>
      <c r="AC501" s="7"/>
      <c r="AD501" s="7"/>
      <c r="AE501" s="8"/>
      <c r="AF501" s="8"/>
      <c r="AG501" s="7"/>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7">
        <f>3109+7</f>
        <v>3116</v>
      </c>
      <c r="Q502" s="3"/>
      <c r="R502" s="3"/>
      <c r="S502" s="6"/>
      <c r="T502" s="7"/>
      <c r="U502" s="7"/>
      <c r="V502" s="7"/>
      <c r="W502" s="7"/>
      <c r="X502" s="7"/>
      <c r="Y502" s="7"/>
      <c r="Z502" s="7"/>
      <c r="AA502" s="7"/>
      <c r="AB502" s="7"/>
      <c r="AC502" s="7"/>
      <c r="AD502" s="7"/>
      <c r="AE502" s="8"/>
      <c r="AF502" s="8"/>
      <c r="AG502" s="7"/>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7">
        <f>3352+7</f>
        <v>3359</v>
      </c>
      <c r="Q503" s="3"/>
      <c r="R503" s="3"/>
      <c r="S503" s="6"/>
      <c r="T503" s="7"/>
      <c r="U503" s="7"/>
      <c r="V503" s="7"/>
      <c r="W503" s="7"/>
      <c r="X503" s="7"/>
      <c r="Y503" s="7"/>
      <c r="Z503" s="7"/>
      <c r="AA503" s="7"/>
      <c r="AB503" s="7"/>
      <c r="AC503" s="7"/>
      <c r="AD503" s="7"/>
      <c r="AE503" s="8"/>
      <c r="AF503" s="8"/>
      <c r="AG503" s="7"/>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7">
        <f>3272+3</f>
        <v>3275</v>
      </c>
      <c r="Q504" s="3"/>
      <c r="R504" s="3"/>
      <c r="S504" s="6"/>
      <c r="T504" s="7"/>
      <c r="U504" s="7"/>
      <c r="V504" s="7"/>
      <c r="W504" s="7"/>
      <c r="X504" s="7"/>
      <c r="Y504" s="7"/>
      <c r="Z504" s="7"/>
      <c r="AA504" s="7"/>
      <c r="AB504" s="7"/>
      <c r="AC504" s="7"/>
      <c r="AD504" s="7"/>
      <c r="AE504" s="8"/>
      <c r="AF504" s="8"/>
      <c r="AG504" s="7"/>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7">
        <f>3252+39</f>
        <v>3291</v>
      </c>
      <c r="Q505" s="3"/>
      <c r="R505" s="3"/>
      <c r="S505" s="6"/>
      <c r="T505" s="7"/>
      <c r="U505" s="7"/>
      <c r="V505" s="7"/>
      <c r="W505" s="7"/>
      <c r="X505" s="7"/>
      <c r="Y505" s="7"/>
      <c r="Z505" s="7"/>
      <c r="AA505" s="7"/>
      <c r="AB505" s="7"/>
      <c r="AC505" s="7"/>
      <c r="AD505" s="7"/>
      <c r="AE505" s="8"/>
      <c r="AF505" s="8"/>
      <c r="AG505" s="7"/>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7">
        <f>3782+2</f>
        <v>3784</v>
      </c>
      <c r="Q506" s="3"/>
      <c r="R506" s="3"/>
      <c r="S506" s="6"/>
      <c r="T506" s="7"/>
      <c r="U506" s="7"/>
      <c r="V506" s="7"/>
      <c r="W506" s="7"/>
      <c r="X506" s="7"/>
      <c r="Y506" s="7"/>
      <c r="Z506" s="7"/>
      <c r="AA506" s="7"/>
      <c r="AB506" s="7"/>
      <c r="AC506" s="7"/>
      <c r="AD506" s="7"/>
      <c r="AE506" s="8"/>
      <c r="AF506" s="8"/>
      <c r="AG506" s="7"/>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7">
        <f>3652+1</f>
        <v>3653</v>
      </c>
      <c r="Q507" s="3"/>
      <c r="R507" s="3"/>
      <c r="S507" s="6"/>
      <c r="T507" s="7"/>
      <c r="U507" s="7"/>
      <c r="V507" s="7"/>
      <c r="W507" s="7"/>
      <c r="X507" s="7"/>
      <c r="Y507" s="7"/>
      <c r="Z507" s="7"/>
      <c r="AA507" s="7"/>
      <c r="AB507" s="7"/>
      <c r="AC507" s="7"/>
      <c r="AD507" s="7"/>
      <c r="AE507" s="8"/>
      <c r="AF507" s="8"/>
      <c r="AG507" s="7"/>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7">
        <f>3580+4</f>
        <v>3584</v>
      </c>
      <c r="Q508" s="3"/>
      <c r="R508" s="3"/>
      <c r="S508" s="6"/>
      <c r="T508" s="7"/>
      <c r="U508" s="7"/>
      <c r="V508" s="7"/>
      <c r="W508" s="7"/>
      <c r="X508" s="7"/>
      <c r="Y508" s="7"/>
      <c r="Z508" s="7"/>
      <c r="AA508" s="7"/>
      <c r="AB508" s="7"/>
      <c r="AC508" s="7"/>
      <c r="AD508" s="7"/>
      <c r="AE508" s="8"/>
      <c r="AF508" s="8"/>
      <c r="AG508" s="7"/>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7">
        <f>3425+18</f>
        <v>3443</v>
      </c>
      <c r="Q509" s="3"/>
      <c r="R509" s="3"/>
      <c r="S509" s="6"/>
      <c r="T509" s="7"/>
      <c r="U509" s="7"/>
      <c r="V509" s="7"/>
      <c r="W509" s="7"/>
      <c r="X509" s="7"/>
      <c r="Y509" s="7"/>
      <c r="Z509" s="7"/>
      <c r="AA509" s="7"/>
      <c r="AB509" s="7"/>
      <c r="AC509" s="7"/>
      <c r="AD509" s="7"/>
      <c r="AE509" s="8"/>
      <c r="AF509" s="8"/>
      <c r="AG509" s="7"/>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7">
        <f>3421+10</f>
        <v>3431</v>
      </c>
      <c r="Q510" s="3"/>
      <c r="R510" s="3"/>
      <c r="S510" s="6"/>
      <c r="T510" s="7"/>
      <c r="U510" s="7"/>
      <c r="V510" s="7"/>
      <c r="W510" s="7"/>
      <c r="X510" s="7"/>
      <c r="Y510" s="7"/>
      <c r="Z510" s="7"/>
      <c r="AA510" s="7"/>
      <c r="AB510" s="7"/>
      <c r="AC510" s="7"/>
      <c r="AD510" s="7"/>
      <c r="AE510" s="8"/>
      <c r="AF510" s="8"/>
      <c r="AG510" s="7"/>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7">
        <f>3614+4</f>
        <v>3618</v>
      </c>
      <c r="Q511" s="3"/>
      <c r="R511" s="3"/>
      <c r="S511" s="6"/>
      <c r="T511" s="7"/>
      <c r="U511" s="7"/>
      <c r="V511" s="7"/>
      <c r="W511" s="7"/>
      <c r="X511" s="7"/>
      <c r="Y511" s="7"/>
      <c r="Z511" s="7"/>
      <c r="AA511" s="7"/>
      <c r="AB511" s="7"/>
      <c r="AC511" s="7"/>
      <c r="AD511" s="7"/>
      <c r="AE511" s="8"/>
      <c r="AF511" s="8"/>
      <c r="AG511" s="7"/>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7">
        <f>3218+6</f>
        <v>3224</v>
      </c>
      <c r="Q512" s="3"/>
      <c r="R512" s="3"/>
      <c r="S512" s="6"/>
      <c r="T512" s="7"/>
      <c r="U512" s="7"/>
      <c r="V512" s="7"/>
      <c r="W512" s="7"/>
      <c r="X512" s="7"/>
      <c r="Y512" s="7"/>
      <c r="Z512" s="7"/>
      <c r="AA512" s="7"/>
      <c r="AB512" s="7"/>
      <c r="AC512" s="7"/>
      <c r="AD512" s="7"/>
      <c r="AE512" s="8"/>
      <c r="AF512" s="8"/>
      <c r="AG512" s="7"/>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7">
        <f>2345+1</f>
        <v>2346</v>
      </c>
      <c r="Q513" s="3"/>
      <c r="R513" s="3"/>
      <c r="S513" s="6"/>
      <c r="T513" s="7"/>
      <c r="U513" s="7"/>
      <c r="V513" s="7"/>
      <c r="W513" s="7"/>
      <c r="X513" s="7"/>
      <c r="Y513" s="7"/>
      <c r="Z513" s="7"/>
      <c r="AA513" s="7"/>
      <c r="AB513" s="7"/>
      <c r="AC513" s="7"/>
      <c r="AD513" s="7"/>
      <c r="AE513" s="8"/>
      <c r="AF513" s="8"/>
      <c r="AG513" s="7"/>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7">
        <f>3584+1</f>
        <v>3585</v>
      </c>
      <c r="Q514" s="3"/>
      <c r="R514" s="3"/>
      <c r="S514" s="6"/>
      <c r="T514" s="7"/>
      <c r="U514" s="7"/>
      <c r="V514" s="7"/>
      <c r="W514" s="7"/>
      <c r="X514" s="7"/>
      <c r="Y514" s="7"/>
      <c r="Z514" s="7"/>
      <c r="AA514" s="7"/>
      <c r="AB514" s="7"/>
      <c r="AC514" s="7"/>
      <c r="AD514" s="7"/>
      <c r="AE514" s="8"/>
      <c r="AF514" s="8"/>
      <c r="AG514" s="7"/>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7">
        <f>3520+1</f>
        <v>3521</v>
      </c>
      <c r="Q515" s="3"/>
      <c r="R515" s="3"/>
      <c r="S515" s="6"/>
      <c r="T515" s="7"/>
      <c r="U515" s="7"/>
      <c r="V515" s="7"/>
      <c r="W515" s="7"/>
      <c r="X515" s="7"/>
      <c r="Y515" s="7"/>
      <c r="Z515" s="7"/>
      <c r="AA515" s="7"/>
      <c r="AB515" s="7"/>
      <c r="AC515" s="7"/>
      <c r="AD515" s="7"/>
      <c r="AE515" s="8"/>
      <c r="AF515" s="8"/>
      <c r="AG515" s="7"/>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7">
        <f>3377+3</f>
        <v>3380</v>
      </c>
      <c r="Q516" s="3"/>
      <c r="R516" s="3"/>
      <c r="S516" s="6"/>
      <c r="T516" s="7"/>
      <c r="U516" s="7"/>
      <c r="V516" s="7"/>
      <c r="W516" s="7"/>
      <c r="X516" s="7"/>
      <c r="Y516" s="7"/>
      <c r="Z516" s="7"/>
      <c r="AA516" s="7"/>
      <c r="AB516" s="7"/>
      <c r="AC516" s="7"/>
      <c r="AD516" s="7"/>
      <c r="AE516" s="8"/>
      <c r="AF516" s="8"/>
      <c r="AG516" s="7"/>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7">
        <f>3224+0</f>
        <v>3224</v>
      </c>
      <c r="Q517" s="3"/>
      <c r="R517" s="3"/>
      <c r="S517" s="6"/>
      <c r="T517" s="7"/>
      <c r="U517" s="7"/>
      <c r="V517" s="7"/>
      <c r="W517" s="7"/>
      <c r="X517" s="7"/>
      <c r="Y517" s="7"/>
      <c r="Z517" s="7"/>
      <c r="AA517" s="7"/>
      <c r="AB517" s="7"/>
      <c r="AC517" s="7"/>
      <c r="AD517" s="7"/>
      <c r="AE517" s="8"/>
      <c r="AF517" s="8"/>
      <c r="AG517" s="7"/>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7">
        <f>2254+0</f>
        <v>2254</v>
      </c>
      <c r="Q518" s="3"/>
      <c r="R518" s="3"/>
      <c r="S518" s="6"/>
      <c r="T518" s="7"/>
      <c r="U518" s="7"/>
      <c r="V518" s="7"/>
      <c r="W518" s="7"/>
      <c r="X518" s="7"/>
      <c r="Y518" s="7"/>
      <c r="Z518" s="7"/>
      <c r="AA518" s="7"/>
      <c r="AB518" s="7"/>
      <c r="AC518" s="7"/>
      <c r="AD518" s="7"/>
      <c r="AE518" s="8"/>
      <c r="AF518" s="8"/>
      <c r="AG518" s="7"/>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7">
        <f>3081+5</f>
        <v>3086</v>
      </c>
      <c r="Q519" s="3"/>
      <c r="R519" s="3"/>
      <c r="S519" s="6"/>
      <c r="T519" s="7"/>
      <c r="U519" s="7"/>
      <c r="V519" s="7"/>
      <c r="W519" s="7"/>
      <c r="X519" s="7"/>
      <c r="Y519" s="7"/>
      <c r="Z519" s="7"/>
      <c r="AA519" s="7"/>
      <c r="AB519" s="7"/>
      <c r="AC519" s="7"/>
      <c r="AD519" s="7"/>
      <c r="AE519" s="8"/>
      <c r="AF519" s="8"/>
      <c r="AG519" s="7"/>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7">
        <f>4710+1</f>
        <v>4711</v>
      </c>
      <c r="Q520" s="3"/>
      <c r="R520" s="3"/>
      <c r="S520" s="6"/>
      <c r="T520" s="7"/>
      <c r="U520" s="7"/>
      <c r="V520" s="7"/>
      <c r="W520" s="7"/>
      <c r="X520" s="7"/>
      <c r="Y520" s="7"/>
      <c r="Z520" s="7"/>
      <c r="AA520" s="7"/>
      <c r="AB520" s="7"/>
      <c r="AC520" s="7"/>
      <c r="AD520" s="7"/>
      <c r="AE520" s="8"/>
      <c r="AF520" s="8"/>
      <c r="AG520" s="7"/>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7">
        <f>4202+8</f>
        <v>4210</v>
      </c>
      <c r="Q521" s="3"/>
      <c r="R521" s="3"/>
      <c r="S521" s="6"/>
      <c r="T521" s="7"/>
      <c r="U521" s="7"/>
      <c r="V521" s="7"/>
      <c r="W521" s="7"/>
      <c r="X521" s="7"/>
      <c r="Y521" s="7"/>
      <c r="Z521" s="7"/>
      <c r="AA521" s="7"/>
      <c r="AB521" s="7"/>
      <c r="AC521" s="7"/>
      <c r="AD521" s="7"/>
      <c r="AE521" s="8"/>
      <c r="AF521" s="8"/>
      <c r="AG521" s="7"/>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7">
        <f>3680+1</f>
        <v>3681</v>
      </c>
      <c r="Q522" s="3"/>
      <c r="R522" s="3"/>
      <c r="S522" s="6"/>
      <c r="T522" s="7"/>
      <c r="U522" s="7"/>
      <c r="V522" s="7"/>
      <c r="W522" s="7"/>
      <c r="X522" s="7"/>
      <c r="Y522" s="7"/>
      <c r="Z522" s="7"/>
      <c r="AA522" s="7"/>
      <c r="AB522" s="7"/>
      <c r="AC522" s="7"/>
      <c r="AD522" s="7"/>
      <c r="AE522" s="8"/>
      <c r="AF522" s="8"/>
      <c r="AG522" s="7"/>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7">
        <f>3531+5</f>
        <v>3536</v>
      </c>
      <c r="Q523" s="3"/>
      <c r="R523" s="3"/>
      <c r="S523" s="6"/>
      <c r="T523" s="7"/>
      <c r="U523" s="7"/>
      <c r="V523" s="7"/>
      <c r="W523" s="7"/>
      <c r="X523" s="7"/>
      <c r="Y523" s="7"/>
      <c r="Z523" s="7"/>
      <c r="AA523" s="7"/>
      <c r="AB523" s="7"/>
      <c r="AC523" s="7"/>
      <c r="AD523" s="7"/>
      <c r="AE523" s="8"/>
      <c r="AF523" s="8"/>
      <c r="AG523" s="7"/>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7">
        <f>3307+3</f>
        <v>3310</v>
      </c>
      <c r="Q524" s="3"/>
      <c r="R524" s="3"/>
      <c r="S524" s="6"/>
      <c r="T524" s="7"/>
      <c r="U524" s="7"/>
      <c r="V524" s="7"/>
      <c r="W524" s="7"/>
      <c r="X524" s="7"/>
      <c r="Y524" s="7"/>
      <c r="Z524" s="7"/>
      <c r="AA524" s="7"/>
      <c r="AB524" s="7"/>
      <c r="AC524" s="7"/>
      <c r="AD524" s="7"/>
      <c r="AE524" s="8"/>
      <c r="AF524" s="8"/>
      <c r="AG524" s="7"/>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7">
        <f>3222+2</f>
        <v>3224</v>
      </c>
      <c r="Q525" s="3"/>
      <c r="R525" s="3"/>
      <c r="S525" s="6"/>
      <c r="T525" s="7"/>
      <c r="U525" s="7"/>
      <c r="V525" s="7"/>
      <c r="W525" s="7"/>
      <c r="X525" s="7"/>
      <c r="Y525" s="7"/>
      <c r="Z525" s="7"/>
      <c r="AA525" s="7"/>
      <c r="AB525" s="7"/>
      <c r="AC525" s="7"/>
      <c r="AD525" s="7"/>
      <c r="AE525" s="8"/>
      <c r="AF525" s="8"/>
      <c r="AG525" s="7"/>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7">
        <f>2904+1</f>
        <v>2905</v>
      </c>
      <c r="Q526" s="3"/>
      <c r="R526" s="3"/>
      <c r="S526" s="6"/>
      <c r="T526" s="7"/>
      <c r="U526" s="7"/>
      <c r="V526" s="7"/>
      <c r="W526" s="7"/>
      <c r="X526" s="7"/>
      <c r="Y526" s="7"/>
      <c r="Z526" s="7"/>
      <c r="AA526" s="7"/>
      <c r="AB526" s="7"/>
      <c r="AC526" s="7"/>
      <c r="AD526" s="7"/>
      <c r="AE526" s="8"/>
      <c r="AF526" s="8"/>
      <c r="AG526" s="7"/>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7">
        <f>3276+0</f>
        <v>3276</v>
      </c>
      <c r="Q527" s="3"/>
      <c r="R527" s="3"/>
      <c r="S527" s="6"/>
      <c r="T527" s="7"/>
      <c r="U527" s="7"/>
      <c r="V527" s="7"/>
      <c r="W527" s="7"/>
      <c r="X527" s="7"/>
      <c r="Y527" s="7"/>
      <c r="Z527" s="7"/>
      <c r="AA527" s="7"/>
      <c r="AB527" s="7"/>
      <c r="AC527" s="7"/>
      <c r="AD527" s="7"/>
      <c r="AE527" s="8"/>
      <c r="AF527" s="8"/>
      <c r="AG527" s="7"/>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7">
        <f>3398+5</f>
        <v>3403</v>
      </c>
      <c r="Q528" s="3"/>
      <c r="R528" s="3"/>
      <c r="S528" s="6"/>
      <c r="T528" s="7"/>
      <c r="U528" s="7"/>
      <c r="V528" s="7"/>
      <c r="W528" s="7"/>
      <c r="X528" s="7"/>
      <c r="Y528" s="7"/>
      <c r="Z528" s="7"/>
      <c r="AA528" s="7"/>
      <c r="AB528" s="7"/>
      <c r="AC528" s="7"/>
      <c r="AD528" s="7"/>
      <c r="AE528" s="8"/>
      <c r="AF528" s="8"/>
      <c r="AG528" s="7"/>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7">
        <f>3386+2</f>
        <v>3388</v>
      </c>
      <c r="Q529" s="3"/>
      <c r="R529" s="3"/>
      <c r="S529" s="6"/>
      <c r="T529" s="7"/>
      <c r="U529" s="7"/>
      <c r="V529" s="7"/>
      <c r="W529" s="7"/>
      <c r="X529" s="7"/>
      <c r="Y529" s="7"/>
      <c r="Z529" s="7"/>
      <c r="AA529" s="7"/>
      <c r="AB529" s="7"/>
      <c r="AC529" s="7"/>
      <c r="AD529" s="7"/>
      <c r="AE529" s="8"/>
      <c r="AF529" s="8"/>
      <c r="AG529" s="7"/>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7">
        <f>3402+0</f>
        <v>3402</v>
      </c>
      <c r="Q530" s="3"/>
      <c r="R530" s="3"/>
      <c r="S530" s="6"/>
      <c r="T530" s="7"/>
      <c r="U530" s="7"/>
      <c r="V530" s="7"/>
      <c r="W530" s="7"/>
      <c r="X530" s="7"/>
      <c r="Y530" s="7"/>
      <c r="Z530" s="7"/>
      <c r="AA530" s="7"/>
      <c r="AB530" s="7"/>
      <c r="AC530" s="7"/>
      <c r="AD530" s="7"/>
      <c r="AE530" s="8"/>
      <c r="AF530" s="8"/>
      <c r="AG530" s="7"/>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7">
        <f>3738+2</f>
        <v>3740</v>
      </c>
      <c r="Q531" s="3"/>
      <c r="R531" s="3"/>
      <c r="S531" s="6"/>
      <c r="T531" s="7"/>
      <c r="U531" s="7"/>
      <c r="V531" s="7"/>
      <c r="W531" s="7"/>
      <c r="X531" s="7"/>
      <c r="Y531" s="7"/>
      <c r="Z531" s="7"/>
      <c r="AA531" s="7"/>
      <c r="AB531" s="7"/>
      <c r="AC531" s="7"/>
      <c r="AD531" s="7"/>
      <c r="AE531" s="8"/>
      <c r="AF531" s="8"/>
      <c r="AG531" s="7"/>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7">
        <f>5029+0</f>
        <v>5029</v>
      </c>
      <c r="Q532" s="3"/>
      <c r="R532" s="3"/>
      <c r="S532" s="6"/>
      <c r="T532" s="7"/>
      <c r="U532" s="7"/>
      <c r="V532" s="7"/>
      <c r="W532" s="7"/>
      <c r="X532" s="7"/>
      <c r="Y532" s="7"/>
      <c r="Z532" s="7"/>
      <c r="AA532" s="7"/>
      <c r="AB532" s="7"/>
      <c r="AC532" s="7"/>
      <c r="AD532" s="7"/>
      <c r="AE532" s="8"/>
      <c r="AF532" s="8"/>
      <c r="AG532" s="7"/>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7">
        <f>5847+1</f>
        <v>5848</v>
      </c>
      <c r="Q533" s="3"/>
      <c r="R533" s="3"/>
      <c r="S533" s="6"/>
      <c r="T533" s="7"/>
      <c r="U533" s="7"/>
      <c r="V533" s="7"/>
      <c r="W533" s="7"/>
      <c r="X533" s="7"/>
      <c r="Y533" s="7"/>
      <c r="Z533" s="7"/>
      <c r="AA533" s="7"/>
      <c r="AB533" s="7"/>
      <c r="AC533" s="7"/>
      <c r="AD533" s="7"/>
      <c r="AE533" s="8"/>
      <c r="AF533" s="8"/>
      <c r="AG533" s="7"/>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7">
        <f>5320+10</f>
        <v>5330</v>
      </c>
      <c r="Q534" s="3"/>
      <c r="R534" s="3"/>
      <c r="S534" s="6"/>
      <c r="T534" s="7"/>
      <c r="U534" s="7"/>
      <c r="V534" s="7"/>
      <c r="W534" s="7"/>
      <c r="X534" s="7"/>
      <c r="Y534" s="7"/>
      <c r="Z534" s="7"/>
      <c r="AA534" s="7"/>
      <c r="AB534" s="7"/>
      <c r="AC534" s="7"/>
      <c r="AD534" s="7"/>
      <c r="AE534" s="8"/>
      <c r="AF534" s="8"/>
      <c r="AG534" s="7"/>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7">
        <f>5302+1</f>
        <v>5303</v>
      </c>
      <c r="Q535" s="3"/>
      <c r="R535" s="3"/>
      <c r="S535" s="6"/>
      <c r="T535" s="7"/>
      <c r="U535" s="7"/>
      <c r="V535" s="7"/>
      <c r="W535" s="7"/>
      <c r="X535" s="7"/>
      <c r="Y535" s="7"/>
      <c r="Z535" s="7"/>
      <c r="AA535" s="7"/>
      <c r="AB535" s="7"/>
      <c r="AC535" s="7"/>
      <c r="AD535" s="7"/>
      <c r="AE535" s="8"/>
      <c r="AF535" s="8"/>
      <c r="AG535" s="7"/>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7">
        <f>4634+1</f>
        <v>4635</v>
      </c>
      <c r="Q536" s="3"/>
      <c r="R536" s="3"/>
      <c r="S536" s="6"/>
      <c r="T536" s="7"/>
      <c r="U536" s="7"/>
      <c r="V536" s="7"/>
      <c r="W536" s="7"/>
      <c r="X536" s="7"/>
      <c r="Y536" s="7"/>
      <c r="Z536" s="7"/>
      <c r="AA536" s="7"/>
      <c r="AB536" s="7"/>
      <c r="AC536" s="7"/>
      <c r="AD536" s="7"/>
      <c r="AE536" s="8"/>
      <c r="AF536" s="8"/>
      <c r="AG536" s="7"/>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7">
        <f>4262+2</f>
        <v>4264</v>
      </c>
      <c r="Q537" s="3"/>
      <c r="R537" s="3"/>
      <c r="S537" s="6"/>
      <c r="T537" s="7"/>
      <c r="U537" s="7"/>
      <c r="V537" s="7"/>
      <c r="W537" s="7"/>
      <c r="X537" s="7"/>
      <c r="Y537" s="7"/>
      <c r="Z537" s="7"/>
      <c r="AA537" s="7"/>
      <c r="AB537" s="7"/>
      <c r="AC537" s="7"/>
      <c r="AD537" s="7"/>
      <c r="AE537" s="8"/>
      <c r="AF537" s="8"/>
      <c r="AG537" s="7"/>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7">
        <f>4279+1</f>
        <v>4280</v>
      </c>
      <c r="Q538" s="3"/>
      <c r="R538" s="3"/>
      <c r="S538" s="6"/>
      <c r="T538" s="7"/>
      <c r="U538" s="7"/>
      <c r="V538" s="7"/>
      <c r="W538" s="7"/>
      <c r="X538" s="7"/>
      <c r="Y538" s="7"/>
      <c r="Z538" s="7"/>
      <c r="AA538" s="7"/>
      <c r="AB538" s="7"/>
      <c r="AC538" s="7"/>
      <c r="AD538" s="7"/>
      <c r="AE538" s="8"/>
      <c r="AF538" s="8"/>
      <c r="AG538" s="7"/>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7">
        <f>4129+0</f>
        <v>4129</v>
      </c>
      <c r="Q539" s="3"/>
      <c r="R539" s="3"/>
      <c r="S539" s="6"/>
      <c r="T539" s="7"/>
      <c r="U539" s="7"/>
      <c r="V539" s="7"/>
      <c r="W539" s="7"/>
      <c r="X539" s="7"/>
      <c r="Y539" s="7"/>
      <c r="Z539" s="7"/>
      <c r="AA539" s="7"/>
      <c r="AB539" s="7"/>
      <c r="AC539" s="7"/>
      <c r="AD539" s="7"/>
      <c r="AE539" s="8"/>
      <c r="AF539" s="8"/>
      <c r="AG539" s="7"/>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7">
        <f>4077+1</f>
        <v>4078</v>
      </c>
      <c r="Q540" s="3"/>
      <c r="R540" s="3"/>
      <c r="S540" s="6"/>
      <c r="T540" s="7"/>
      <c r="U540" s="7"/>
      <c r="V540" s="7"/>
      <c r="W540" s="7"/>
      <c r="X540" s="7"/>
      <c r="Y540" s="7"/>
      <c r="Z540" s="7"/>
      <c r="AA540" s="7"/>
      <c r="AB540" s="7"/>
      <c r="AC540" s="7"/>
      <c r="AD540" s="7"/>
      <c r="AE540" s="8"/>
      <c r="AF540" s="8"/>
      <c r="AG540" s="7"/>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7">
        <f>4669+1</f>
        <v>4670</v>
      </c>
      <c r="Q541" s="3"/>
      <c r="R541" s="3"/>
      <c r="S541" s="6"/>
      <c r="T541" s="7"/>
      <c r="U541" s="7"/>
      <c r="V541" s="7"/>
      <c r="W541" s="7"/>
      <c r="X541" s="7"/>
      <c r="Y541" s="7"/>
      <c r="Z541" s="7"/>
      <c r="AA541" s="7"/>
      <c r="AB541" s="7"/>
      <c r="AC541" s="7"/>
      <c r="AD541" s="7"/>
      <c r="AE541" s="8"/>
      <c r="AF541" s="8"/>
      <c r="AG541" s="7"/>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7">
        <f>4218+1</f>
        <v>4219</v>
      </c>
      <c r="Q542" s="3"/>
      <c r="R542" s="3"/>
      <c r="S542" s="6"/>
      <c r="T542" s="7"/>
      <c r="U542" s="7"/>
      <c r="V542" s="7"/>
      <c r="W542" s="7"/>
      <c r="X542" s="7"/>
      <c r="Y542" s="7"/>
      <c r="Z542" s="7"/>
      <c r="AA542" s="7"/>
      <c r="AB542" s="7"/>
      <c r="AC542" s="7"/>
      <c r="AD542" s="7"/>
      <c r="AE542" s="8"/>
      <c r="AF542" s="8"/>
      <c r="AG542" s="7"/>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7">
        <f>4173+4</f>
        <v>4177</v>
      </c>
      <c r="Q543" s="3"/>
      <c r="R543" s="3"/>
      <c r="S543" s="6"/>
      <c r="T543" s="7"/>
      <c r="U543" s="7"/>
      <c r="V543" s="7"/>
      <c r="W543" s="7"/>
      <c r="X543" s="7"/>
      <c r="Y543" s="7"/>
      <c r="Z543" s="7"/>
      <c r="AA543" s="7"/>
      <c r="AB543" s="7"/>
      <c r="AC543" s="7"/>
      <c r="AD543" s="7"/>
      <c r="AE543" s="8"/>
      <c r="AF543" s="8"/>
      <c r="AG543" s="7"/>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7">
        <f>4192+16</f>
        <v>4208</v>
      </c>
      <c r="Q544" s="3"/>
      <c r="R544" s="3"/>
      <c r="S544" s="6"/>
      <c r="T544" s="7"/>
      <c r="U544" s="7"/>
      <c r="V544" s="7"/>
      <c r="W544" s="7"/>
      <c r="X544" s="7"/>
      <c r="Y544" s="7"/>
      <c r="Z544" s="7"/>
      <c r="AA544" s="7"/>
      <c r="AB544" s="7"/>
      <c r="AC544" s="7"/>
      <c r="AD544" s="7"/>
      <c r="AE544" s="8"/>
      <c r="AF544" s="8"/>
      <c r="AG544" s="7"/>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7">
        <f>4411+1</f>
        <v>4412</v>
      </c>
      <c r="Q545" s="3"/>
      <c r="R545" s="3"/>
      <c r="S545" s="6"/>
      <c r="T545" s="7"/>
      <c r="U545" s="7"/>
      <c r="V545" s="7"/>
      <c r="W545" s="7"/>
      <c r="X545" s="7"/>
      <c r="Y545" s="7"/>
      <c r="Z545" s="7"/>
      <c r="AA545" s="7"/>
      <c r="AB545" s="7"/>
      <c r="AC545" s="7"/>
      <c r="AD545" s="7"/>
      <c r="AE545" s="8"/>
      <c r="AF545" s="8"/>
      <c r="AG545" s="7"/>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7">
        <f>5721+2</f>
        <v>5723</v>
      </c>
      <c r="Q546" s="3"/>
      <c r="R546" s="3"/>
      <c r="S546" s="6"/>
      <c r="T546" s="7"/>
      <c r="U546" s="7"/>
      <c r="V546" s="7"/>
      <c r="W546" s="7"/>
      <c r="X546" s="7"/>
      <c r="Y546" s="7"/>
      <c r="Z546" s="7"/>
      <c r="AA546" s="7"/>
      <c r="AB546" s="7"/>
      <c r="AC546" s="7"/>
      <c r="AD546" s="7"/>
      <c r="AE546" s="8"/>
      <c r="AF546" s="8"/>
      <c r="AG546" s="7"/>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7">
        <f>4549+0</f>
        <v>4549</v>
      </c>
      <c r="Q547" s="3"/>
      <c r="R547" s="3"/>
      <c r="S547" s="6"/>
      <c r="T547" s="7"/>
      <c r="U547" s="7"/>
      <c r="V547" s="7"/>
      <c r="W547" s="7"/>
      <c r="X547" s="7"/>
      <c r="Y547" s="7"/>
      <c r="Z547" s="7"/>
      <c r="AA547" s="7"/>
      <c r="AB547" s="7"/>
      <c r="AC547" s="7"/>
      <c r="AD547" s="7"/>
      <c r="AE547" s="8"/>
      <c r="AF547" s="8"/>
      <c r="AG547" s="7"/>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7">
        <f>4011+8</f>
        <v>4019</v>
      </c>
      <c r="Q548" s="3"/>
      <c r="R548" s="3"/>
      <c r="S548" s="6"/>
      <c r="T548" s="7"/>
      <c r="U548" s="7"/>
      <c r="V548" s="7"/>
      <c r="W548" s="7"/>
      <c r="X548" s="7"/>
      <c r="Y548" s="7"/>
      <c r="Z548" s="7"/>
      <c r="AA548" s="7"/>
      <c r="AB548" s="7"/>
      <c r="AC548" s="7"/>
      <c r="AD548" s="7"/>
      <c r="AE548" s="8"/>
      <c r="AF548" s="8"/>
      <c r="AG548" s="7"/>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7">
        <f>3906+2</f>
        <v>3908</v>
      </c>
      <c r="Q549" s="3"/>
      <c r="R549" s="3"/>
      <c r="S549" s="6"/>
      <c r="T549" s="7"/>
      <c r="U549" s="7"/>
      <c r="V549" s="7"/>
      <c r="W549" s="7"/>
      <c r="X549" s="7"/>
      <c r="Y549" s="7"/>
      <c r="Z549" s="7"/>
      <c r="AA549" s="7"/>
      <c r="AB549" s="7"/>
      <c r="AC549" s="7"/>
      <c r="AD549" s="7"/>
      <c r="AE549" s="8"/>
      <c r="AF549" s="8"/>
      <c r="AG549" s="7"/>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7">
        <f>3854+3</f>
        <v>3857</v>
      </c>
      <c r="Q550" s="3"/>
      <c r="R550" s="3"/>
      <c r="S550" s="6"/>
      <c r="T550" s="7"/>
      <c r="U550" s="7"/>
      <c r="V550" s="7"/>
      <c r="W550" s="7"/>
      <c r="X550" s="7"/>
      <c r="Y550" s="7"/>
      <c r="Z550" s="7"/>
      <c r="AA550" s="7"/>
      <c r="AB550" s="7"/>
      <c r="AC550" s="7"/>
      <c r="AD550" s="7"/>
      <c r="AE550" s="8"/>
      <c r="AF550" s="8"/>
      <c r="AG550" s="7"/>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7">
        <f>3512+2</f>
        <v>3514</v>
      </c>
      <c r="Q551" s="3"/>
      <c r="R551" s="3"/>
      <c r="S551" s="6"/>
      <c r="T551" s="7"/>
      <c r="U551" s="7"/>
      <c r="V551" s="7"/>
      <c r="W551" s="7"/>
      <c r="X551" s="7"/>
      <c r="Y551" s="7"/>
      <c r="Z551" s="7"/>
      <c r="AA551" s="7"/>
      <c r="AB551" s="7"/>
      <c r="AC551" s="7"/>
      <c r="AD551" s="7"/>
      <c r="AE551" s="8"/>
      <c r="AF551" s="8"/>
      <c r="AG551" s="7"/>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7">
        <f>3534+1</f>
        <v>3535</v>
      </c>
      <c r="Q552" s="3"/>
      <c r="R552" s="3"/>
      <c r="S552" s="6"/>
      <c r="T552" s="7"/>
      <c r="U552" s="7"/>
      <c r="V552" s="7"/>
      <c r="W552" s="7"/>
      <c r="X552" s="7"/>
      <c r="Y552" s="7"/>
      <c r="Z552" s="7"/>
      <c r="AA552" s="7"/>
      <c r="AB552" s="7"/>
      <c r="AC552" s="7"/>
      <c r="AD552" s="7"/>
      <c r="AE552" s="8"/>
      <c r="AF552" s="8"/>
      <c r="AG552" s="7"/>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7">
        <f>3622+0</f>
        <v>3622</v>
      </c>
      <c r="Q553" s="3"/>
      <c r="R553" s="3"/>
      <c r="S553" s="6"/>
      <c r="T553" s="7"/>
      <c r="U553" s="7"/>
      <c r="V553" s="7"/>
      <c r="W553" s="7"/>
      <c r="X553" s="7"/>
      <c r="Y553" s="7"/>
      <c r="Z553" s="7"/>
      <c r="AA553" s="7"/>
      <c r="AB553" s="7"/>
      <c r="AC553" s="7"/>
      <c r="AD553" s="7"/>
      <c r="AE553" s="8"/>
      <c r="AF553" s="8"/>
      <c r="AG553" s="7"/>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7">
        <f>3329+7</f>
        <v>3336</v>
      </c>
      <c r="Q554" s="3"/>
      <c r="R554" s="3"/>
      <c r="S554" s="6"/>
      <c r="T554" s="7"/>
      <c r="U554" s="7"/>
      <c r="V554" s="7"/>
      <c r="W554" s="7"/>
      <c r="X554" s="7"/>
      <c r="Y554" s="7"/>
      <c r="Z554" s="7"/>
      <c r="AA554" s="7"/>
      <c r="AB554" s="7"/>
      <c r="AC554" s="7"/>
      <c r="AD554" s="7"/>
      <c r="AE554" s="8"/>
      <c r="AF554" s="8"/>
      <c r="AG554" s="7"/>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7">
        <f>3643+0</f>
        <v>3643</v>
      </c>
      <c r="Q555" s="3"/>
      <c r="R555" s="3"/>
      <c r="S555" s="6"/>
      <c r="T555" s="7"/>
      <c r="U555" s="7"/>
      <c r="V555" s="7"/>
      <c r="W555" s="7"/>
      <c r="X555" s="7"/>
      <c r="Y555" s="7"/>
      <c r="Z555" s="7"/>
      <c r="AA555" s="7"/>
      <c r="AB555" s="7"/>
      <c r="AC555" s="7"/>
      <c r="AD555" s="7"/>
      <c r="AE555" s="8"/>
      <c r="AF555" s="8"/>
      <c r="AG555" s="7"/>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7">
        <f>3681+0</f>
        <v>3681</v>
      </c>
      <c r="Q556" s="3"/>
      <c r="R556" s="3"/>
      <c r="S556" s="6"/>
      <c r="T556" s="7"/>
      <c r="U556" s="7"/>
      <c r="V556" s="7"/>
      <c r="W556" s="7"/>
      <c r="X556" s="7"/>
      <c r="Y556" s="7"/>
      <c r="Z556" s="7"/>
      <c r="AA556" s="7"/>
      <c r="AB556" s="7"/>
      <c r="AC556" s="7"/>
      <c r="AD556" s="7"/>
      <c r="AE556" s="8"/>
      <c r="AF556" s="8"/>
      <c r="AG556" s="7"/>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7">
        <f>3734+23</f>
        <v>3757</v>
      </c>
      <c r="Q557" s="3"/>
      <c r="R557" s="3"/>
      <c r="S557" s="6"/>
      <c r="T557" s="7"/>
      <c r="U557" s="7"/>
      <c r="V557" s="7"/>
      <c r="W557" s="7"/>
      <c r="X557" s="7"/>
      <c r="Y557" s="7"/>
      <c r="Z557" s="7"/>
      <c r="AA557" s="7"/>
      <c r="AB557" s="7"/>
      <c r="AC557" s="7"/>
      <c r="AD557" s="7"/>
      <c r="AE557" s="8"/>
      <c r="AF557" s="8"/>
      <c r="AG557" s="7"/>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7">
        <f>3764+11</f>
        <v>3775</v>
      </c>
      <c r="Q558" s="3"/>
      <c r="R558" s="3"/>
      <c r="S558" s="6"/>
      <c r="T558" s="7"/>
      <c r="U558" s="7"/>
      <c r="V558" s="7"/>
      <c r="W558" s="7"/>
      <c r="X558" s="7"/>
      <c r="Y558" s="7"/>
      <c r="Z558" s="7"/>
      <c r="AA558" s="7"/>
      <c r="AB558" s="7"/>
      <c r="AC558" s="7"/>
      <c r="AD558" s="7"/>
      <c r="AE558" s="8"/>
      <c r="AF558" s="8"/>
      <c r="AG558" s="7"/>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7">
        <f>3916+0</f>
        <v>3916</v>
      </c>
      <c r="Q559" s="3"/>
      <c r="R559" s="3"/>
      <c r="S559" s="6"/>
      <c r="T559" s="7"/>
      <c r="U559" s="7"/>
      <c r="V559" s="7"/>
      <c r="W559" s="7"/>
      <c r="X559" s="7"/>
      <c r="Y559" s="7"/>
      <c r="Z559" s="7"/>
      <c r="AA559" s="7"/>
      <c r="AB559" s="7"/>
      <c r="AC559" s="7"/>
      <c r="AD559" s="7"/>
      <c r="AE559" s="8"/>
      <c r="AF559" s="8"/>
      <c r="AG559" s="7"/>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7">
        <f>3509+1</f>
        <v>3510</v>
      </c>
      <c r="Q560" s="3"/>
      <c r="R560" s="3"/>
      <c r="S560" s="6"/>
      <c r="T560" s="7"/>
      <c r="U560" s="7"/>
      <c r="V560" s="7"/>
      <c r="W560" s="7"/>
      <c r="X560" s="7"/>
      <c r="Y560" s="7"/>
      <c r="Z560" s="7"/>
      <c r="AA560" s="7"/>
      <c r="AB560" s="7"/>
      <c r="AC560" s="7"/>
      <c r="AD560" s="7"/>
      <c r="AE560" s="8"/>
      <c r="AF560" s="8"/>
      <c r="AG560" s="7"/>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7">
        <f>3879+1</f>
        <v>3880</v>
      </c>
      <c r="Q561" s="3"/>
      <c r="R561" s="3"/>
      <c r="S561" s="6"/>
      <c r="T561" s="7"/>
      <c r="U561" s="7"/>
      <c r="V561" s="7"/>
      <c r="W561" s="7"/>
      <c r="X561" s="7"/>
      <c r="Y561" s="7"/>
      <c r="Z561" s="7"/>
      <c r="AA561" s="7"/>
      <c r="AB561" s="7"/>
      <c r="AC561" s="7"/>
      <c r="AD561" s="7"/>
      <c r="AE561" s="8"/>
      <c r="AF561" s="8"/>
      <c r="AG561" s="7"/>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7">
        <f>3959+7</f>
        <v>3966</v>
      </c>
      <c r="Q562" s="3"/>
      <c r="R562" s="3"/>
      <c r="S562" s="6"/>
      <c r="T562" s="7"/>
      <c r="U562" s="7"/>
      <c r="V562" s="7"/>
      <c r="W562" s="7"/>
      <c r="X562" s="7"/>
      <c r="Y562" s="7"/>
      <c r="Z562" s="7"/>
      <c r="AA562" s="7"/>
      <c r="AB562" s="7"/>
      <c r="AC562" s="7"/>
      <c r="AD562" s="7"/>
      <c r="AE562" s="8"/>
      <c r="AF562" s="8"/>
      <c r="AG562" s="7"/>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7">
        <f>3950+2</f>
        <v>3952</v>
      </c>
      <c r="Q563" s="3"/>
      <c r="R563" s="3"/>
      <c r="S563" s="6"/>
      <c r="T563" s="7"/>
      <c r="U563" s="7"/>
      <c r="V563" s="7"/>
      <c r="W563" s="7"/>
      <c r="X563" s="7"/>
      <c r="Y563" s="7"/>
      <c r="Z563" s="7"/>
      <c r="AA563" s="7"/>
      <c r="AB563" s="7"/>
      <c r="AC563" s="7"/>
      <c r="AD563" s="7"/>
      <c r="AE563" s="8"/>
      <c r="AF563" s="8"/>
      <c r="AG563" s="7"/>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7">
        <f>3699+2</f>
        <v>3701</v>
      </c>
      <c r="Q564" s="3"/>
      <c r="R564" s="3"/>
      <c r="S564" s="6"/>
      <c r="T564" s="7"/>
      <c r="U564" s="7"/>
      <c r="V564" s="7"/>
      <c r="W564" s="7"/>
      <c r="X564" s="7"/>
      <c r="Y564" s="7"/>
      <c r="Z564" s="7"/>
      <c r="AA564" s="7"/>
      <c r="AB564" s="7"/>
      <c r="AC564" s="7"/>
      <c r="AD564" s="7"/>
      <c r="AE564" s="8"/>
      <c r="AF564" s="8"/>
      <c r="AG564" s="7"/>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7">
        <f>3726+4</f>
        <v>3730</v>
      </c>
      <c r="Q565" s="3"/>
      <c r="R565" s="3"/>
      <c r="S565" s="6"/>
      <c r="T565" s="7"/>
      <c r="U565" s="7"/>
      <c r="V565" s="7"/>
      <c r="W565" s="7"/>
      <c r="X565" s="7"/>
      <c r="Y565" s="7"/>
      <c r="Z565" s="7"/>
      <c r="AA565" s="7"/>
      <c r="AB565" s="7"/>
      <c r="AC565" s="7"/>
      <c r="AD565" s="7"/>
      <c r="AE565" s="8"/>
      <c r="AF565" s="8"/>
      <c r="AG565" s="7"/>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7">
        <f>2522+5</f>
        <v>2527</v>
      </c>
      <c r="Q566" s="3"/>
      <c r="R566" s="3"/>
      <c r="S566" s="6"/>
      <c r="T566" s="7"/>
      <c r="U566" s="7"/>
      <c r="V566" s="7"/>
      <c r="W566" s="7"/>
      <c r="X566" s="7"/>
      <c r="Y566" s="7"/>
      <c r="Z566" s="7"/>
      <c r="AA566" s="7"/>
      <c r="AB566" s="7"/>
      <c r="AC566" s="7"/>
      <c r="AD566" s="7"/>
      <c r="AE566" s="8"/>
      <c r="AF566" s="8"/>
      <c r="AG566" s="7"/>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7">
        <f>4108+5</f>
        <v>4113</v>
      </c>
      <c r="Q567" s="3"/>
      <c r="R567" s="3"/>
      <c r="S567" s="6"/>
      <c r="T567" s="7"/>
      <c r="U567" s="7"/>
      <c r="V567" s="7"/>
      <c r="W567" s="7"/>
      <c r="X567" s="7"/>
      <c r="Y567" s="7"/>
      <c r="Z567" s="7"/>
      <c r="AA567" s="7"/>
      <c r="AB567" s="7"/>
      <c r="AC567" s="7"/>
      <c r="AD567" s="7"/>
      <c r="AE567" s="8"/>
      <c r="AF567" s="8"/>
      <c r="AG567" s="7"/>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7">
        <f>3294+2</f>
        <v>3296</v>
      </c>
      <c r="Q568" s="3"/>
      <c r="R568" s="3"/>
      <c r="S568" s="6"/>
      <c r="T568" s="7"/>
      <c r="U568" s="7"/>
      <c r="V568" s="7"/>
      <c r="W568" s="7"/>
      <c r="X568" s="7"/>
      <c r="Y568" s="7"/>
      <c r="Z568" s="7"/>
      <c r="AA568" s="7"/>
      <c r="AB568" s="7"/>
      <c r="AC568" s="7"/>
      <c r="AD568" s="7"/>
      <c r="AE568" s="8"/>
      <c r="AF568" s="8"/>
      <c r="AG568" s="7"/>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7">
        <f>3290+4</f>
        <v>3294</v>
      </c>
      <c r="Q569" s="3"/>
      <c r="R569" s="3"/>
      <c r="S569" s="6"/>
      <c r="T569" s="7"/>
      <c r="U569" s="7"/>
      <c r="V569" s="7"/>
      <c r="W569" s="7"/>
      <c r="X569" s="7"/>
      <c r="Y569" s="7"/>
      <c r="Z569" s="7"/>
      <c r="AA569" s="7"/>
      <c r="AB569" s="7"/>
      <c r="AC569" s="7"/>
      <c r="AD569" s="7"/>
      <c r="AE569" s="8"/>
      <c r="AF569" s="8"/>
      <c r="AG569" s="7"/>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7">
        <f>2154+1</f>
        <v>2155</v>
      </c>
      <c r="Q570" s="3"/>
      <c r="R570" s="3"/>
      <c r="S570" s="6"/>
      <c r="T570" s="7"/>
      <c r="U570" s="7"/>
      <c r="V570" s="7"/>
      <c r="W570" s="7"/>
      <c r="X570" s="7"/>
      <c r="Y570" s="7"/>
      <c r="Z570" s="7"/>
      <c r="AA570" s="7"/>
      <c r="AB570" s="7"/>
      <c r="AC570" s="7"/>
      <c r="AD570" s="7"/>
      <c r="AE570" s="8"/>
      <c r="AF570" s="8"/>
      <c r="AG570" s="7"/>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7">
        <f>3132+0</f>
        <v>3132</v>
      </c>
      <c r="Q571" s="3"/>
      <c r="R571" s="3"/>
      <c r="S571" s="6"/>
      <c r="T571" s="7"/>
      <c r="U571" s="7"/>
      <c r="V571" s="7"/>
      <c r="W571" s="7"/>
      <c r="X571" s="7"/>
      <c r="Y571" s="7"/>
      <c r="Z571" s="7"/>
      <c r="AA571" s="7"/>
      <c r="AB571" s="7"/>
      <c r="AC571" s="7"/>
      <c r="AD571" s="7"/>
      <c r="AE571" s="8"/>
      <c r="AF571" s="8"/>
      <c r="AG571" s="7"/>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7">
        <f>4650+4</f>
        <v>4654</v>
      </c>
      <c r="Q572" s="3"/>
      <c r="R572" s="3"/>
      <c r="S572" s="6"/>
      <c r="T572" s="7"/>
      <c r="U572" s="7"/>
      <c r="V572" s="7"/>
      <c r="W572" s="7"/>
      <c r="X572" s="7"/>
      <c r="Y572" s="7"/>
      <c r="Z572" s="7"/>
      <c r="AA572" s="7"/>
      <c r="AB572" s="7"/>
      <c r="AC572" s="7"/>
      <c r="AD572" s="7"/>
      <c r="AE572" s="8"/>
      <c r="AF572" s="8"/>
      <c r="AG572" s="7"/>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7">
        <f>4151+1</f>
        <v>4152</v>
      </c>
      <c r="Q573" s="3"/>
      <c r="R573" s="3"/>
      <c r="S573" s="6"/>
      <c r="T573" s="7"/>
      <c r="U573" s="7"/>
      <c r="V573" s="7"/>
      <c r="W573" s="7"/>
      <c r="X573" s="7"/>
      <c r="Y573" s="7"/>
      <c r="Z573" s="7"/>
      <c r="AA573" s="7"/>
      <c r="AB573" s="7"/>
      <c r="AC573" s="7"/>
      <c r="AD573" s="7"/>
      <c r="AE573" s="8"/>
      <c r="AF573" s="8"/>
      <c r="AG573" s="7"/>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7">
        <f>3470+5</f>
        <v>3475</v>
      </c>
      <c r="Q574" s="3"/>
      <c r="R574" s="3"/>
      <c r="S574" s="6"/>
      <c r="T574" s="7"/>
      <c r="U574" s="7"/>
      <c r="V574" s="7"/>
      <c r="W574" s="7"/>
      <c r="X574" s="7"/>
      <c r="Y574" s="7"/>
      <c r="Z574" s="7"/>
      <c r="AA574" s="7"/>
      <c r="AB574" s="7"/>
      <c r="AC574" s="7"/>
      <c r="AD574" s="7"/>
      <c r="AE574" s="8"/>
      <c r="AF574" s="8"/>
      <c r="AG574" s="7"/>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7">
        <f>3796+11</f>
        <v>3807</v>
      </c>
      <c r="Q575" s="3"/>
      <c r="R575" s="3"/>
      <c r="S575" s="6"/>
      <c r="T575" s="7"/>
      <c r="U575" s="7"/>
      <c r="V575" s="7"/>
      <c r="W575" s="7"/>
      <c r="X575" s="7"/>
      <c r="Y575" s="7"/>
      <c r="Z575" s="7"/>
      <c r="AA575" s="7"/>
      <c r="AB575" s="7"/>
      <c r="AC575" s="7"/>
      <c r="AD575" s="7"/>
      <c r="AE575" s="8"/>
      <c r="AF575" s="8"/>
      <c r="AG575" s="7"/>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7">
        <f>3635+1</f>
        <v>3636</v>
      </c>
      <c r="Q576" s="3"/>
      <c r="R576" s="3"/>
      <c r="S576" s="6"/>
      <c r="T576" s="7"/>
      <c r="U576" s="7"/>
      <c r="V576" s="7"/>
      <c r="W576" s="7"/>
      <c r="X576" s="7"/>
      <c r="Y576" s="7"/>
      <c r="Z576" s="7"/>
      <c r="AA576" s="7"/>
      <c r="AB576" s="7"/>
      <c r="AC576" s="7"/>
      <c r="AD576" s="7"/>
      <c r="AE576" s="8"/>
      <c r="AF576" s="8"/>
      <c r="AG576" s="7"/>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7">
        <f>3536+2</f>
        <v>3538</v>
      </c>
      <c r="Q577" s="3"/>
      <c r="R577" s="3"/>
      <c r="S577" s="6"/>
      <c r="T577" s="7"/>
      <c r="U577" s="7"/>
      <c r="V577" s="7"/>
      <c r="W577" s="7"/>
      <c r="X577" s="7"/>
      <c r="Y577" s="7"/>
      <c r="Z577" s="7"/>
      <c r="AA577" s="7"/>
      <c r="AB577" s="7"/>
      <c r="AC577" s="7"/>
      <c r="AD577" s="7"/>
      <c r="AE577" s="8"/>
      <c r="AF577" s="8"/>
      <c r="AG577" s="7"/>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7">
        <f>3149+2</f>
        <v>3151</v>
      </c>
      <c r="Q578" s="3"/>
      <c r="R578" s="3"/>
      <c r="S578" s="6"/>
      <c r="T578" s="7"/>
      <c r="U578" s="7"/>
      <c r="V578" s="7"/>
      <c r="W578" s="7"/>
      <c r="X578" s="7"/>
      <c r="Y578" s="7"/>
      <c r="Z578" s="7"/>
      <c r="AA578" s="7"/>
      <c r="AB578" s="7"/>
      <c r="AC578" s="7"/>
      <c r="AD578" s="7"/>
      <c r="AE578" s="8"/>
      <c r="AF578" s="8"/>
      <c r="AG578" s="7"/>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7">
        <f>3085+1</f>
        <v>3086</v>
      </c>
      <c r="Q579" s="3"/>
      <c r="R579" s="3"/>
      <c r="S579" s="6"/>
      <c r="T579" s="7"/>
      <c r="U579" s="7"/>
      <c r="V579" s="7"/>
      <c r="W579" s="7"/>
      <c r="X579" s="7"/>
      <c r="Y579" s="7"/>
      <c r="Z579" s="7"/>
      <c r="AA579" s="7"/>
      <c r="AB579" s="7"/>
      <c r="AC579" s="7"/>
      <c r="AD579" s="7"/>
      <c r="AE579" s="8"/>
      <c r="AF579" s="8"/>
      <c r="AG579" s="7"/>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7">
        <f>3356+1</f>
        <v>3357</v>
      </c>
      <c r="Q580" s="3"/>
      <c r="R580" s="3"/>
      <c r="S580" s="6"/>
      <c r="T580" s="7"/>
      <c r="U580" s="7"/>
      <c r="V580" s="7"/>
      <c r="W580" s="7"/>
      <c r="X580" s="7"/>
      <c r="Y580" s="7"/>
      <c r="Z580" s="7"/>
      <c r="AA580" s="7"/>
      <c r="AB580" s="7"/>
      <c r="AC580" s="7"/>
      <c r="AD580" s="7"/>
      <c r="AE580" s="8"/>
      <c r="AF580" s="8"/>
      <c r="AG580" s="7"/>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7">
        <f>3844+0</f>
        <v>3844</v>
      </c>
      <c r="Q581" s="3"/>
      <c r="R581" s="3"/>
      <c r="S581" s="6"/>
      <c r="T581" s="7"/>
      <c r="U581" s="7"/>
      <c r="V581" s="7"/>
      <c r="W581" s="7"/>
      <c r="X581" s="7"/>
      <c r="Y581" s="7"/>
      <c r="Z581" s="7"/>
      <c r="AA581" s="7"/>
      <c r="AB581" s="7"/>
      <c r="AC581" s="7"/>
      <c r="AD581" s="7"/>
      <c r="AE581" s="8"/>
      <c r="AF581" s="8"/>
      <c r="AG581" s="7"/>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7">
        <f>29337+11</f>
        <v>29348</v>
      </c>
      <c r="Q582" s="3"/>
      <c r="R582" s="3"/>
      <c r="S582" s="6"/>
      <c r="T582" s="7"/>
      <c r="U582" s="7"/>
      <c r="V582" s="7"/>
      <c r="W582" s="7"/>
      <c r="X582" s="7"/>
      <c r="Y582" s="7"/>
      <c r="Z582" s="7"/>
      <c r="AA582" s="7"/>
      <c r="AB582" s="7"/>
      <c r="AC582" s="7"/>
      <c r="AD582" s="7"/>
      <c r="AE582" s="8"/>
      <c r="AF582" s="8"/>
      <c r="AG582" s="7"/>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7">
        <f>88688+252</f>
        <v>88940</v>
      </c>
      <c r="Q583" s="3"/>
      <c r="R583" s="3"/>
      <c r="S583" s="6"/>
      <c r="T583" s="7"/>
      <c r="U583" s="7"/>
      <c r="V583" s="7"/>
      <c r="W583" s="7"/>
      <c r="X583" s="7"/>
      <c r="Y583" s="7"/>
      <c r="Z583" s="7"/>
      <c r="AA583" s="7"/>
      <c r="AB583" s="7"/>
      <c r="AC583" s="7"/>
      <c r="AD583" s="7"/>
      <c r="AE583" s="8"/>
      <c r="AF583" s="8"/>
      <c r="AG583" s="7"/>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7">
        <f>132382+46</f>
        <v>132428</v>
      </c>
      <c r="Q584" s="3"/>
      <c r="R584" s="3"/>
      <c r="S584" s="6"/>
      <c r="T584" s="7"/>
      <c r="U584" s="7"/>
      <c r="V584" s="7"/>
      <c r="W584" s="7"/>
      <c r="X584" s="7"/>
      <c r="Y584" s="7"/>
      <c r="Z584" s="7"/>
      <c r="AA584" s="7"/>
      <c r="AB584" s="7"/>
      <c r="AC584" s="7"/>
      <c r="AD584" s="7"/>
      <c r="AE584" s="8"/>
      <c r="AF584" s="8"/>
      <c r="AG584" s="7"/>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7">
        <f>98495+36</f>
        <v>98531</v>
      </c>
      <c r="Q585" s="3"/>
      <c r="R585" s="3"/>
      <c r="S585" s="6"/>
      <c r="T585" s="7"/>
      <c r="U585" s="7"/>
      <c r="V585" s="7"/>
      <c r="W585" s="7"/>
      <c r="X585" s="7"/>
      <c r="Y585" s="7"/>
      <c r="Z585" s="7"/>
      <c r="AA585" s="7"/>
      <c r="AB585" s="7"/>
      <c r="AC585" s="7"/>
      <c r="AD585" s="7"/>
      <c r="AE585" s="8"/>
      <c r="AF585" s="8"/>
      <c r="AG585" s="7"/>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7">
        <f>72433+24</f>
        <v>72457</v>
      </c>
      <c r="Q586" s="3"/>
      <c r="R586" s="3"/>
      <c r="S586" s="6"/>
      <c r="T586" s="7"/>
      <c r="U586" s="7"/>
      <c r="V586" s="7"/>
      <c r="W586" s="7"/>
      <c r="X586" s="7"/>
      <c r="Y586" s="7"/>
      <c r="Z586" s="7"/>
      <c r="AA586" s="7"/>
      <c r="AB586" s="7"/>
      <c r="AC586" s="7"/>
      <c r="AD586" s="7"/>
      <c r="AE586" s="8"/>
      <c r="AF586" s="8"/>
      <c r="AG586" s="7"/>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7">
        <f>52529+52</f>
        <v>52581</v>
      </c>
      <c r="Q587" s="3"/>
      <c r="R587" s="3"/>
      <c r="S587" s="6"/>
      <c r="T587" s="7"/>
      <c r="U587" s="7"/>
      <c r="V587" s="7"/>
      <c r="W587" s="7"/>
      <c r="X587" s="7"/>
      <c r="Y587" s="7"/>
      <c r="Z587" s="7"/>
      <c r="AA587" s="7"/>
      <c r="AB587" s="7"/>
      <c r="AC587" s="7"/>
      <c r="AD587" s="7"/>
      <c r="AE587" s="8"/>
      <c r="AF587" s="8"/>
      <c r="AG587" s="7"/>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7">
        <f>42955+68</f>
        <v>43023</v>
      </c>
      <c r="Q588" s="3"/>
      <c r="R588" s="3"/>
      <c r="S588" s="6"/>
      <c r="T588" s="7"/>
      <c r="U588" s="7"/>
      <c r="V588" s="7"/>
      <c r="W588" s="7"/>
      <c r="X588" s="7"/>
      <c r="Y588" s="7"/>
      <c r="Z588" s="7"/>
      <c r="AA588" s="7"/>
      <c r="AB588" s="7"/>
      <c r="AC588" s="7"/>
      <c r="AD588" s="7"/>
      <c r="AE588" s="8"/>
      <c r="AF588" s="8"/>
      <c r="AG588" s="7"/>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7">
        <f>31032+538</f>
        <v>31570</v>
      </c>
      <c r="Q589" s="3"/>
      <c r="R589" s="3"/>
      <c r="S589" s="6"/>
      <c r="T589" s="7"/>
      <c r="U589" s="7"/>
      <c r="V589" s="7"/>
      <c r="W589" s="7"/>
      <c r="X589" s="7"/>
      <c r="Y589" s="7"/>
      <c r="Z589" s="7"/>
      <c r="AA589" s="7"/>
      <c r="AB589" s="7"/>
      <c r="AC589" s="7"/>
      <c r="AD589" s="7"/>
      <c r="AE589" s="8"/>
      <c r="AF589" s="8"/>
      <c r="AG589" s="7"/>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7">
        <f>31933+24</f>
        <v>31957</v>
      </c>
      <c r="Q590" s="3"/>
      <c r="R590" s="3"/>
      <c r="S590" s="6"/>
      <c r="T590" s="7"/>
      <c r="U590" s="7"/>
      <c r="V590" s="7"/>
      <c r="W590" s="7"/>
      <c r="X590" s="7"/>
      <c r="Y590" s="7"/>
      <c r="Z590" s="7"/>
      <c r="AA590" s="7"/>
      <c r="AB590" s="7"/>
      <c r="AC590" s="7"/>
      <c r="AD590" s="7"/>
      <c r="AE590" s="8"/>
      <c r="AF590" s="8"/>
      <c r="AG590" s="7"/>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7">
        <f>26847+21</f>
        <v>26868</v>
      </c>
      <c r="Q591" s="3"/>
      <c r="R591" s="3"/>
      <c r="S591" s="6"/>
      <c r="T591" s="7"/>
      <c r="U591" s="7"/>
      <c r="V591" s="7"/>
      <c r="W591" s="7"/>
      <c r="X591" s="7"/>
      <c r="Y591" s="7"/>
      <c r="Z591" s="7"/>
      <c r="AA591" s="7"/>
      <c r="AB591" s="7"/>
      <c r="AC591" s="7"/>
      <c r="AD591" s="7"/>
      <c r="AE591" s="8"/>
      <c r="AF591" s="8"/>
      <c r="AG591" s="7"/>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7">
        <f>21979+33</f>
        <v>22012</v>
      </c>
      <c r="Q592" s="3"/>
      <c r="R592" s="3"/>
      <c r="S592" s="6"/>
      <c r="T592" s="7"/>
      <c r="U592" s="7"/>
      <c r="V592" s="7"/>
      <c r="W592" s="7"/>
      <c r="X592" s="7"/>
      <c r="Y592" s="7"/>
      <c r="Z592" s="7"/>
      <c r="AA592" s="7"/>
      <c r="AB592" s="7"/>
      <c r="AC592" s="7"/>
      <c r="AD592" s="7"/>
      <c r="AE592" s="8"/>
      <c r="AF592" s="8"/>
      <c r="AG592" s="7"/>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7">
        <f>24336+31</f>
        <v>24367</v>
      </c>
      <c r="Q593" s="3"/>
      <c r="R593" s="3"/>
      <c r="S593" s="6"/>
      <c r="T593" s="7"/>
      <c r="U593" s="7"/>
      <c r="V593" s="7"/>
      <c r="W593" s="7"/>
      <c r="X593" s="7"/>
      <c r="Y593" s="7"/>
      <c r="Z593" s="7"/>
      <c r="AA593" s="7"/>
      <c r="AB593" s="7"/>
      <c r="AC593" s="7"/>
      <c r="AD593" s="7"/>
      <c r="AE593" s="8"/>
      <c r="AF593" s="8"/>
      <c r="AG593" s="7"/>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7">
        <f>22406+13</f>
        <v>22419</v>
      </c>
      <c r="Q594" s="3"/>
      <c r="R594" s="3"/>
      <c r="S594" s="6"/>
      <c r="T594" s="7"/>
      <c r="U594" s="7"/>
      <c r="V594" s="7"/>
      <c r="W594" s="7"/>
      <c r="X594" s="7"/>
      <c r="Y594" s="7"/>
      <c r="Z594" s="7"/>
      <c r="AA594" s="7"/>
      <c r="AB594" s="7"/>
      <c r="AC594" s="7"/>
      <c r="AD594" s="7"/>
      <c r="AE594" s="8"/>
      <c r="AF594" s="8"/>
      <c r="AG594" s="7"/>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7">
        <f>25853+33</f>
        <v>25886</v>
      </c>
      <c r="Q595" s="3"/>
      <c r="R595" s="3"/>
      <c r="S595" s="6"/>
      <c r="T595" s="7"/>
      <c r="U595" s="7"/>
      <c r="V595" s="7"/>
      <c r="W595" s="7"/>
      <c r="X595" s="7"/>
      <c r="Y595" s="7"/>
      <c r="Z595" s="7"/>
      <c r="AA595" s="7"/>
      <c r="AB595" s="7"/>
      <c r="AC595" s="7"/>
      <c r="AD595" s="7"/>
      <c r="AE595" s="8"/>
      <c r="AF595" s="8"/>
      <c r="AG595" s="7"/>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7">
        <f>26297+31</f>
        <v>26328</v>
      </c>
      <c r="Q596" s="3"/>
      <c r="R596" s="3"/>
      <c r="S596" s="6"/>
      <c r="T596" s="7"/>
      <c r="U596" s="7"/>
      <c r="V596" s="7"/>
      <c r="W596" s="7"/>
      <c r="X596" s="7"/>
      <c r="Y596" s="7"/>
      <c r="Z596" s="7"/>
      <c r="AA596" s="7"/>
      <c r="AB596" s="7"/>
      <c r="AC596" s="7"/>
      <c r="AD596" s="7"/>
      <c r="AE596" s="8"/>
      <c r="AF596" s="8"/>
      <c r="AG596" s="7"/>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7">
        <f>25745+29</f>
        <v>25774</v>
      </c>
      <c r="Q597" s="3"/>
      <c r="R597" s="3"/>
      <c r="S597" s="6"/>
      <c r="T597" s="7"/>
      <c r="U597" s="7"/>
      <c r="V597" s="7"/>
      <c r="W597" s="7"/>
      <c r="X597" s="7"/>
      <c r="Y597" s="7"/>
      <c r="Z597" s="7"/>
      <c r="AA597" s="7"/>
      <c r="AB597" s="7"/>
      <c r="AC597" s="7"/>
      <c r="AD597" s="7"/>
      <c r="AE597" s="8"/>
      <c r="AF597" s="8"/>
      <c r="AG597" s="7"/>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7">
        <f>28669+26</f>
        <v>28695</v>
      </c>
      <c r="Q598" s="3"/>
      <c r="R598" s="3"/>
      <c r="S598" s="6"/>
      <c r="T598" s="7"/>
      <c r="U598" s="7"/>
      <c r="V598" s="7"/>
      <c r="W598" s="7"/>
      <c r="X598" s="7"/>
      <c r="Y598" s="7"/>
      <c r="Z598" s="7"/>
      <c r="AA598" s="7"/>
      <c r="AB598" s="7"/>
      <c r="AC598" s="7"/>
      <c r="AD598" s="7"/>
      <c r="AE598" s="8"/>
      <c r="AF598" s="8"/>
      <c r="AG598" s="7"/>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7">
        <f>21429+12</f>
        <v>21441</v>
      </c>
      <c r="Q599" s="3"/>
      <c r="R599" s="3"/>
      <c r="S599" s="6"/>
      <c r="T599" s="7"/>
      <c r="U599" s="7"/>
      <c r="V599" s="7"/>
      <c r="W599" s="7"/>
      <c r="X599" s="7"/>
      <c r="Y599" s="7"/>
      <c r="Z599" s="7"/>
      <c r="AA599" s="7"/>
      <c r="AB599" s="7"/>
      <c r="AC599" s="7"/>
      <c r="AD599" s="7"/>
      <c r="AE599" s="8"/>
      <c r="AF599" s="8"/>
      <c r="AG599" s="7"/>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7">
        <f>19032+31</f>
        <v>19063</v>
      </c>
      <c r="Q600" s="3"/>
      <c r="R600" s="3"/>
      <c r="S600" s="6"/>
      <c r="T600" s="7"/>
      <c r="U600" s="7"/>
      <c r="V600" s="7"/>
      <c r="W600" s="7"/>
      <c r="X600" s="7"/>
      <c r="Y600" s="7"/>
      <c r="Z600" s="7"/>
      <c r="AA600" s="7"/>
      <c r="AB600" s="7"/>
      <c r="AC600" s="7"/>
      <c r="AD600" s="7"/>
      <c r="AE600" s="8"/>
      <c r="AF600" s="8"/>
      <c r="AG600" s="7"/>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7">
        <f>15539+22</f>
        <v>15561</v>
      </c>
      <c r="Q601" s="3"/>
      <c r="R601" s="3"/>
      <c r="S601" s="6"/>
      <c r="T601" s="7"/>
      <c r="U601" s="7"/>
      <c r="V601" s="7"/>
      <c r="W601" s="7"/>
      <c r="X601" s="7"/>
      <c r="Y601" s="7"/>
      <c r="Z601" s="7"/>
      <c r="AA601" s="7"/>
      <c r="AB601" s="7"/>
      <c r="AC601" s="7"/>
      <c r="AD601" s="7"/>
      <c r="AE601" s="8"/>
      <c r="AF601" s="8"/>
      <c r="AG601" s="7"/>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7">
        <f>11633+22</f>
        <v>11655</v>
      </c>
      <c r="Q602" s="3"/>
      <c r="R602" s="3"/>
      <c r="S602" s="6"/>
      <c r="T602" s="7"/>
      <c r="U602" s="7"/>
      <c r="V602" s="7"/>
      <c r="W602" s="7"/>
      <c r="X602" s="7"/>
      <c r="Y602" s="7"/>
      <c r="Z602" s="7"/>
      <c r="AA602" s="7"/>
      <c r="AB602" s="7"/>
      <c r="AC602" s="7"/>
      <c r="AD602" s="7"/>
      <c r="AE602" s="8"/>
      <c r="AF602" s="8"/>
      <c r="AG602" s="7"/>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7">
        <f>12763+12</f>
        <v>12775</v>
      </c>
      <c r="Q603" s="3"/>
      <c r="R603" s="3"/>
      <c r="S603" s="6"/>
      <c r="T603" s="7"/>
      <c r="U603" s="7"/>
      <c r="V603" s="7"/>
      <c r="W603" s="7"/>
      <c r="X603" s="7"/>
      <c r="Y603" s="7"/>
      <c r="Z603" s="7"/>
      <c r="AA603" s="7"/>
      <c r="AB603" s="7"/>
      <c r="AC603" s="7"/>
      <c r="AD603" s="7"/>
      <c r="AE603" s="8"/>
      <c r="AF603" s="8"/>
      <c r="AG603" s="7"/>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7">
        <f>12462+25</f>
        <v>12487</v>
      </c>
      <c r="Q604" s="3"/>
      <c r="R604" s="3"/>
      <c r="S604" s="6"/>
      <c r="T604" s="7"/>
      <c r="U604" s="7"/>
      <c r="V604" s="7"/>
      <c r="W604" s="7"/>
      <c r="X604" s="7"/>
      <c r="Y604" s="7"/>
      <c r="Z604" s="7"/>
      <c r="AA604" s="7"/>
      <c r="AB604" s="7"/>
      <c r="AC604" s="7"/>
      <c r="AD604" s="7"/>
      <c r="AE604" s="8"/>
      <c r="AF604" s="8"/>
      <c r="AG604" s="7"/>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7">
        <f>11693+12</f>
        <v>11705</v>
      </c>
      <c r="Q605" s="3"/>
      <c r="R605" s="3"/>
      <c r="S605" s="6"/>
      <c r="T605" s="7"/>
      <c r="U605" s="7"/>
      <c r="V605" s="7"/>
      <c r="W605" s="7"/>
      <c r="X605" s="7"/>
      <c r="Y605" s="7"/>
      <c r="Z605" s="7"/>
      <c r="AA605" s="7"/>
      <c r="AB605" s="7"/>
      <c r="AC605" s="7"/>
      <c r="AD605" s="7"/>
      <c r="AE605" s="8"/>
      <c r="AF605" s="8"/>
      <c r="AG605" s="7"/>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7">
        <f>11327+16</f>
        <v>11343</v>
      </c>
      <c r="Q606" s="3"/>
      <c r="R606" s="3"/>
      <c r="S606" s="6"/>
      <c r="T606" s="7"/>
      <c r="U606" s="7"/>
      <c r="V606" s="7"/>
      <c r="W606" s="7"/>
      <c r="X606" s="7"/>
      <c r="Y606" s="7"/>
      <c r="Z606" s="7"/>
      <c r="AA606" s="7"/>
      <c r="AB606" s="7"/>
      <c r="AC606" s="7"/>
      <c r="AD606" s="7"/>
      <c r="AE606" s="8"/>
      <c r="AF606" s="8"/>
      <c r="AG606" s="7"/>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7">
        <f>10007+8</f>
        <v>10015</v>
      </c>
      <c r="Q607" s="3"/>
      <c r="R607" s="3"/>
      <c r="S607" s="6"/>
      <c r="T607" s="7"/>
      <c r="U607" s="7"/>
      <c r="V607" s="7"/>
      <c r="W607" s="7"/>
      <c r="X607" s="7"/>
      <c r="Y607" s="7"/>
      <c r="Z607" s="7"/>
      <c r="AA607" s="7"/>
      <c r="AB607" s="7"/>
      <c r="AC607" s="7"/>
      <c r="AD607" s="7"/>
      <c r="AE607" s="8"/>
      <c r="AF607" s="8"/>
      <c r="AG607" s="7"/>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7">
        <f>9056+9</f>
        <v>9065</v>
      </c>
      <c r="Q608" s="3"/>
      <c r="R608" s="3"/>
      <c r="S608" s="6"/>
      <c r="T608" s="7"/>
      <c r="U608" s="7"/>
      <c r="V608" s="7"/>
      <c r="W608" s="7"/>
      <c r="X608" s="7"/>
      <c r="Y608" s="7"/>
      <c r="Z608" s="7"/>
      <c r="AA608" s="7"/>
      <c r="AB608" s="7"/>
      <c r="AC608" s="7"/>
      <c r="AD608" s="7"/>
      <c r="AE608" s="8"/>
      <c r="AF608" s="8"/>
      <c r="AG608" s="7"/>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7">
        <f>8207+1</f>
        <v>8208</v>
      </c>
      <c r="Q609" s="3"/>
      <c r="R609" s="3"/>
      <c r="S609" s="6"/>
      <c r="T609" s="7"/>
      <c r="U609" s="7"/>
      <c r="V609" s="7"/>
      <c r="W609" s="7"/>
      <c r="X609" s="7"/>
      <c r="Y609" s="7"/>
      <c r="Z609" s="7"/>
      <c r="AA609" s="7"/>
      <c r="AB609" s="7"/>
      <c r="AC609" s="7"/>
      <c r="AD609" s="7"/>
      <c r="AE609" s="8"/>
      <c r="AF609" s="8"/>
      <c r="AG609" s="7"/>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7">
        <f>7964+2</f>
        <v>7966</v>
      </c>
      <c r="Q610" s="3"/>
      <c r="R610" s="3"/>
      <c r="S610" s="6"/>
      <c r="T610" s="7"/>
      <c r="U610" s="7"/>
      <c r="V610" s="7"/>
      <c r="W610" s="7"/>
      <c r="X610" s="7"/>
      <c r="Y610" s="7"/>
      <c r="Z610" s="7"/>
      <c r="AA610" s="7"/>
      <c r="AB610" s="7"/>
      <c r="AC610" s="7"/>
      <c r="AD610" s="7"/>
      <c r="AE610" s="8"/>
      <c r="AF610" s="8"/>
      <c r="AG610" s="7"/>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7">
        <f>7920+5</f>
        <v>7925</v>
      </c>
      <c r="Q611" s="3"/>
      <c r="R611" s="3"/>
      <c r="S611" s="6"/>
      <c r="T611" s="7"/>
      <c r="U611" s="7"/>
      <c r="V611" s="7"/>
      <c r="W611" s="7"/>
      <c r="X611" s="7"/>
      <c r="Y611" s="7"/>
      <c r="Z611" s="7"/>
      <c r="AA611" s="7"/>
      <c r="AB611" s="7"/>
      <c r="AC611" s="7"/>
      <c r="AD611" s="7"/>
      <c r="AE611" s="8"/>
      <c r="AF611" s="8"/>
      <c r="AG611" s="7"/>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7">
        <f>7050+3</f>
        <v>7053</v>
      </c>
      <c r="Q612" s="3"/>
      <c r="R612" s="3"/>
      <c r="S612" s="6"/>
      <c r="T612" s="7"/>
      <c r="U612" s="7"/>
      <c r="V612" s="7"/>
      <c r="W612" s="7"/>
      <c r="X612" s="7"/>
      <c r="Y612" s="7"/>
      <c r="Z612" s="7"/>
      <c r="AA612" s="7"/>
      <c r="AB612" s="7"/>
      <c r="AC612" s="7"/>
      <c r="AD612" s="7"/>
      <c r="AE612" s="8"/>
      <c r="AF612" s="8"/>
      <c r="AG612" s="7"/>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7">
        <f>6809+4</f>
        <v>6813</v>
      </c>
      <c r="Q613" s="3"/>
      <c r="R613" s="3"/>
      <c r="S613" s="6"/>
      <c r="T613" s="7"/>
      <c r="U613" s="7"/>
      <c r="V613" s="7"/>
      <c r="W613" s="7"/>
      <c r="X613" s="7"/>
      <c r="Y613" s="7"/>
      <c r="Z613" s="7"/>
      <c r="AA613" s="7"/>
      <c r="AB613" s="7"/>
      <c r="AC613" s="7"/>
      <c r="AD613" s="7"/>
      <c r="AE613" s="8"/>
      <c r="AF613" s="8"/>
      <c r="AG613" s="7"/>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7">
        <f>6379+10</f>
        <v>6389</v>
      </c>
      <c r="Q614" s="3"/>
      <c r="R614" s="3"/>
      <c r="S614" s="6"/>
      <c r="T614" s="7"/>
      <c r="U614" s="7"/>
      <c r="V614" s="7"/>
      <c r="W614" s="7"/>
      <c r="X614" s="7"/>
      <c r="Y614" s="7"/>
      <c r="Z614" s="7"/>
      <c r="AA614" s="7"/>
      <c r="AB614" s="7"/>
      <c r="AC614" s="7"/>
      <c r="AD614" s="7"/>
      <c r="AE614" s="8"/>
      <c r="AF614" s="8"/>
      <c r="AG614" s="7"/>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7">
        <f>6406+4</f>
        <v>6410</v>
      </c>
      <c r="Q615" s="3"/>
      <c r="R615" s="3"/>
      <c r="S615" s="6"/>
      <c r="T615" s="7"/>
      <c r="U615" s="7"/>
      <c r="V615" s="7"/>
      <c r="W615" s="7"/>
      <c r="X615" s="7"/>
      <c r="Y615" s="7"/>
      <c r="Z615" s="7"/>
      <c r="AA615" s="7"/>
      <c r="AB615" s="7"/>
      <c r="AC615" s="7"/>
      <c r="AD615" s="7"/>
      <c r="AE615" s="8"/>
      <c r="AF615" s="8"/>
      <c r="AG615" s="7"/>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7">
        <f>6282+3</f>
        <v>6285</v>
      </c>
      <c r="Q616" s="3"/>
      <c r="R616" s="3"/>
      <c r="S616" s="6"/>
      <c r="T616" s="7"/>
      <c r="U616" s="7"/>
      <c r="V616" s="7"/>
      <c r="W616" s="7"/>
      <c r="X616" s="7"/>
      <c r="Y616" s="7"/>
      <c r="Z616" s="7"/>
      <c r="AA616" s="7"/>
      <c r="AB616" s="7"/>
      <c r="AC616" s="7"/>
      <c r="AD616" s="7"/>
      <c r="AE616" s="8"/>
      <c r="AF616" s="8"/>
      <c r="AG616" s="7"/>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7">
        <f>7152+2</f>
        <v>7154</v>
      </c>
      <c r="Q617" s="3"/>
      <c r="R617" s="3"/>
      <c r="S617" s="6"/>
      <c r="T617" s="7"/>
      <c r="U617" s="7"/>
      <c r="V617" s="7"/>
      <c r="W617" s="7"/>
      <c r="X617" s="7"/>
      <c r="Y617" s="7"/>
      <c r="Z617" s="7"/>
      <c r="AA617" s="7"/>
      <c r="AB617" s="7"/>
      <c r="AC617" s="7"/>
      <c r="AD617" s="7"/>
      <c r="AE617" s="8"/>
      <c r="AF617" s="8"/>
      <c r="AG617" s="7"/>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7">
        <f>5568+1</f>
        <v>5569</v>
      </c>
      <c r="Q618" s="3"/>
      <c r="R618" s="3"/>
      <c r="S618" s="6"/>
      <c r="T618" s="7"/>
      <c r="U618" s="7"/>
      <c r="V618" s="7"/>
      <c r="W618" s="7"/>
      <c r="X618" s="7"/>
      <c r="Y618" s="7"/>
      <c r="Z618" s="7"/>
      <c r="AA618" s="7"/>
      <c r="AB618" s="7"/>
      <c r="AC618" s="7"/>
      <c r="AD618" s="7"/>
      <c r="AE618" s="8"/>
      <c r="AF618" s="8"/>
      <c r="AG618" s="7"/>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7">
        <f>7357+5</f>
        <v>7362</v>
      </c>
      <c r="Q619" s="3"/>
      <c r="R619" s="3"/>
      <c r="S619" s="6"/>
      <c r="T619" s="7"/>
      <c r="U619" s="7"/>
      <c r="V619" s="7"/>
      <c r="W619" s="7"/>
      <c r="X619" s="7"/>
      <c r="Y619" s="7"/>
      <c r="Z619" s="7"/>
      <c r="AA619" s="7"/>
      <c r="AB619" s="7"/>
      <c r="AC619" s="7"/>
      <c r="AD619" s="7"/>
      <c r="AE619" s="8"/>
      <c r="AF619" s="8"/>
      <c r="AG619" s="7"/>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7">
        <f>6917+4</f>
        <v>6921</v>
      </c>
      <c r="Q620" s="3"/>
      <c r="R620" s="3"/>
      <c r="S620" s="6"/>
      <c r="T620" s="7"/>
      <c r="U620" s="7"/>
      <c r="V620" s="7"/>
      <c r="W620" s="7"/>
      <c r="X620" s="7"/>
      <c r="Y620" s="7"/>
      <c r="Z620" s="7"/>
      <c r="AA620" s="7"/>
      <c r="AB620" s="7"/>
      <c r="AC620" s="7"/>
      <c r="AD620" s="7"/>
      <c r="AE620" s="8"/>
      <c r="AF620" s="8"/>
      <c r="AG620" s="7"/>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7">
        <f>7030+2</f>
        <v>7032</v>
      </c>
      <c r="Q621" s="3"/>
      <c r="R621" s="3"/>
      <c r="S621" s="6"/>
      <c r="T621" s="7"/>
      <c r="U621" s="7"/>
      <c r="V621" s="7"/>
      <c r="W621" s="7"/>
      <c r="X621" s="7"/>
      <c r="Y621" s="7"/>
      <c r="Z621" s="7"/>
      <c r="AA621" s="7"/>
      <c r="AB621" s="7"/>
      <c r="AC621" s="7"/>
      <c r="AD621" s="7"/>
      <c r="AE621" s="8"/>
      <c r="AF621" s="8"/>
      <c r="AG621" s="7"/>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7">
        <f>6560+9</f>
        <v>6569</v>
      </c>
      <c r="Q622" s="3"/>
      <c r="R622" s="3"/>
      <c r="S622" s="6"/>
      <c r="T622" s="7"/>
      <c r="U622" s="7"/>
      <c r="V622" s="7"/>
      <c r="W622" s="7"/>
      <c r="X622" s="7"/>
      <c r="Y622" s="7"/>
      <c r="Z622" s="7"/>
      <c r="AA622" s="7"/>
      <c r="AB622" s="7"/>
      <c r="AC622" s="7"/>
      <c r="AD622" s="7"/>
      <c r="AE622" s="8"/>
      <c r="AF622" s="8"/>
      <c r="AG622" s="7"/>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7">
        <f>7992+0</f>
        <v>7992</v>
      </c>
      <c r="Q623" s="3"/>
      <c r="R623" s="3"/>
      <c r="S623" s="6"/>
      <c r="T623" s="7"/>
      <c r="U623" s="7"/>
      <c r="V623" s="7"/>
      <c r="W623" s="7"/>
      <c r="X623" s="7"/>
      <c r="Y623" s="7"/>
      <c r="Z623" s="7"/>
      <c r="AA623" s="7"/>
      <c r="AB623" s="7"/>
      <c r="AC623" s="7"/>
      <c r="AD623" s="7"/>
      <c r="AE623" s="8"/>
      <c r="AF623" s="8"/>
      <c r="AG623" s="7"/>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7">
        <f>12305+4</f>
        <v>12309</v>
      </c>
      <c r="Q624" s="3"/>
      <c r="R624" s="3"/>
      <c r="S624" s="6"/>
      <c r="T624" s="7"/>
      <c r="U624" s="7"/>
      <c r="V624" s="7"/>
      <c r="W624" s="7"/>
      <c r="X624" s="7"/>
      <c r="Y624" s="7"/>
      <c r="Z624" s="7"/>
      <c r="AA624" s="7"/>
      <c r="AB624" s="7"/>
      <c r="AC624" s="7"/>
      <c r="AD624" s="7"/>
      <c r="AE624" s="8"/>
      <c r="AF624" s="8"/>
      <c r="AG624" s="7"/>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7">
        <f>12000+6</f>
        <v>12006</v>
      </c>
      <c r="Q625" s="3"/>
      <c r="R625" s="3"/>
      <c r="S625" s="6"/>
      <c r="T625" s="7"/>
      <c r="U625" s="7"/>
      <c r="V625" s="7"/>
      <c r="W625" s="7"/>
      <c r="X625" s="7"/>
      <c r="Y625" s="7"/>
      <c r="Z625" s="7"/>
      <c r="AA625" s="7"/>
      <c r="AB625" s="7"/>
      <c r="AC625" s="7"/>
      <c r="AD625" s="7"/>
      <c r="AE625" s="8"/>
      <c r="AF625" s="8"/>
      <c r="AG625" s="7"/>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7">
        <f>13030+4</f>
        <v>13034</v>
      </c>
      <c r="Q626" s="3"/>
      <c r="R626" s="3"/>
      <c r="S626" s="6"/>
      <c r="T626" s="7"/>
      <c r="U626" s="7"/>
      <c r="V626" s="7"/>
      <c r="W626" s="7"/>
      <c r="X626" s="7"/>
      <c r="Y626" s="7"/>
      <c r="Z626" s="7"/>
      <c r="AA626" s="7"/>
      <c r="AB626" s="7"/>
      <c r="AC626" s="7"/>
      <c r="AD626" s="7"/>
      <c r="AE626" s="8"/>
      <c r="AF626" s="8"/>
      <c r="AG626" s="7"/>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7">
        <f>15144+4</f>
        <v>15148</v>
      </c>
      <c r="Q627" s="3"/>
      <c r="R627" s="3"/>
      <c r="S627" s="6"/>
      <c r="T627" s="7"/>
      <c r="U627" s="7"/>
      <c r="V627" s="7"/>
      <c r="W627" s="7"/>
      <c r="X627" s="7"/>
      <c r="Y627" s="7"/>
      <c r="Z627" s="7"/>
      <c r="AA627" s="7"/>
      <c r="AB627" s="7"/>
      <c r="AC627" s="7"/>
      <c r="AD627" s="7"/>
      <c r="AE627" s="8"/>
      <c r="AF627" s="8"/>
      <c r="AG627" s="7"/>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7">
        <f>7668+2</f>
        <v>7670</v>
      </c>
      <c r="Q628" s="3"/>
      <c r="R628" s="3"/>
      <c r="S628" s="6"/>
      <c r="T628" s="7"/>
      <c r="U628" s="7"/>
      <c r="V628" s="7"/>
      <c r="W628" s="7"/>
      <c r="X628" s="7"/>
      <c r="Y628" s="7"/>
      <c r="Z628" s="7"/>
      <c r="AA628" s="7"/>
      <c r="AB628" s="7"/>
      <c r="AC628" s="7"/>
      <c r="AD628" s="7"/>
      <c r="AE628" s="8"/>
      <c r="AF628" s="8"/>
      <c r="AG628" s="7"/>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7">
        <f>3896+7</f>
        <v>3903</v>
      </c>
      <c r="Q629" s="3"/>
      <c r="R629" s="3"/>
      <c r="S629" s="6"/>
      <c r="T629" s="7"/>
      <c r="U629" s="7"/>
      <c r="V629" s="7"/>
      <c r="W629" s="7"/>
      <c r="X629" s="7"/>
      <c r="Y629" s="7"/>
      <c r="Z629" s="7"/>
      <c r="AA629" s="7"/>
      <c r="AB629" s="7"/>
      <c r="AC629" s="7"/>
      <c r="AD629" s="7"/>
      <c r="AE629" s="8"/>
      <c r="AF629" s="8"/>
      <c r="AG629" s="7"/>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7">
        <f>4106+2</f>
        <v>4108</v>
      </c>
      <c r="Q630" s="3"/>
      <c r="R630" s="3"/>
      <c r="S630" s="6"/>
      <c r="T630" s="7"/>
      <c r="U630" s="7"/>
      <c r="V630" s="7"/>
      <c r="W630" s="7"/>
      <c r="X630" s="7"/>
      <c r="Y630" s="7"/>
      <c r="Z630" s="7"/>
      <c r="AA630" s="7"/>
      <c r="AB630" s="7"/>
      <c r="AC630" s="7"/>
      <c r="AD630" s="7"/>
      <c r="AE630" s="8"/>
      <c r="AF630" s="8"/>
      <c r="AG630" s="7"/>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7">
        <f>4076+15</f>
        <v>4091</v>
      </c>
      <c r="Q631" s="3"/>
      <c r="R631" s="3"/>
      <c r="S631" s="6"/>
      <c r="T631" s="7"/>
      <c r="U631" s="7"/>
      <c r="V631" s="7"/>
      <c r="W631" s="7"/>
      <c r="X631" s="7"/>
      <c r="Y631" s="7"/>
      <c r="Z631" s="7"/>
      <c r="AA631" s="7"/>
      <c r="AB631" s="7"/>
      <c r="AC631" s="7"/>
      <c r="AD631" s="7"/>
      <c r="AE631" s="8"/>
      <c r="AF631" s="8"/>
      <c r="AG631" s="7"/>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7">
        <f>4239+5</f>
        <v>4244</v>
      </c>
      <c r="Q632" s="3"/>
      <c r="R632" s="3"/>
      <c r="S632" s="6"/>
      <c r="T632" s="7"/>
      <c r="U632" s="7"/>
      <c r="V632" s="7"/>
      <c r="W632" s="7"/>
      <c r="X632" s="7"/>
      <c r="Y632" s="7"/>
      <c r="Z632" s="7"/>
      <c r="AA632" s="7"/>
      <c r="AB632" s="7"/>
      <c r="AC632" s="7"/>
      <c r="AD632" s="7"/>
      <c r="AE632" s="8"/>
      <c r="AF632" s="8"/>
      <c r="AG632" s="7"/>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7">
        <f>5217+3</f>
        <v>5220</v>
      </c>
      <c r="Q633" s="3"/>
      <c r="R633" s="3"/>
      <c r="S633" s="6"/>
      <c r="T633" s="7"/>
      <c r="U633" s="7"/>
      <c r="V633" s="7"/>
      <c r="W633" s="7"/>
      <c r="X633" s="7"/>
      <c r="Y633" s="7"/>
      <c r="Z633" s="7"/>
      <c r="AA633" s="7"/>
      <c r="AB633" s="7"/>
      <c r="AC633" s="7"/>
      <c r="AD633" s="7"/>
      <c r="AE633" s="8"/>
      <c r="AF633" s="8"/>
      <c r="AG633" s="7"/>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7">
        <f>4821+1</f>
        <v>4822</v>
      </c>
      <c r="Q634" s="3"/>
      <c r="R634" s="3"/>
      <c r="S634" s="6"/>
      <c r="T634" s="7"/>
      <c r="U634" s="7"/>
      <c r="V634" s="7"/>
      <c r="W634" s="7"/>
      <c r="X634" s="7"/>
      <c r="Y634" s="7"/>
      <c r="Z634" s="7"/>
      <c r="AA634" s="7"/>
      <c r="AB634" s="7"/>
      <c r="AC634" s="7"/>
      <c r="AD634" s="7"/>
      <c r="AE634" s="8"/>
      <c r="AF634" s="8"/>
      <c r="AG634" s="7"/>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7">
        <f>5365+8</f>
        <v>5373</v>
      </c>
      <c r="Q635" s="3"/>
      <c r="R635" s="3"/>
      <c r="S635" s="6"/>
      <c r="T635" s="7"/>
      <c r="U635" s="7"/>
      <c r="V635" s="7"/>
      <c r="W635" s="7"/>
      <c r="X635" s="7"/>
      <c r="Y635" s="7"/>
      <c r="Z635" s="7"/>
      <c r="AA635" s="7"/>
      <c r="AB635" s="7"/>
      <c r="AC635" s="7"/>
      <c r="AD635" s="7"/>
      <c r="AE635" s="8"/>
      <c r="AF635" s="8"/>
      <c r="AG635" s="7"/>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7">
        <f>5168+9</f>
        <v>5177</v>
      </c>
      <c r="Q636" s="3"/>
      <c r="R636" s="3"/>
      <c r="S636" s="6"/>
      <c r="T636" s="7"/>
      <c r="U636" s="7"/>
      <c r="V636" s="7"/>
      <c r="W636" s="7"/>
      <c r="X636" s="7"/>
      <c r="Y636" s="7"/>
      <c r="Z636" s="7"/>
      <c r="AA636" s="7"/>
      <c r="AB636" s="7"/>
      <c r="AC636" s="7"/>
      <c r="AD636" s="7"/>
      <c r="AE636" s="8"/>
      <c r="AF636" s="8"/>
      <c r="AG636" s="7"/>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7">
        <f>6188+14</f>
        <v>6202</v>
      </c>
      <c r="Q637" s="3"/>
      <c r="R637" s="3"/>
      <c r="S637" s="6"/>
      <c r="T637" s="7"/>
      <c r="U637" s="7"/>
      <c r="V637" s="7"/>
      <c r="W637" s="7"/>
      <c r="X637" s="7"/>
      <c r="Y637" s="7"/>
      <c r="Z637" s="7"/>
      <c r="AA637" s="7"/>
      <c r="AB637" s="7"/>
      <c r="AC637" s="7"/>
      <c r="AD637" s="7"/>
      <c r="AE637" s="8"/>
      <c r="AF637" s="8"/>
      <c r="AG637" s="7"/>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7">
        <f>6293+15</f>
        <v>6308</v>
      </c>
      <c r="Q638" s="3"/>
      <c r="R638" s="3"/>
      <c r="S638" s="6"/>
      <c r="T638" s="7"/>
      <c r="U638" s="7"/>
      <c r="V638" s="7"/>
      <c r="W638" s="7"/>
      <c r="X638" s="7"/>
      <c r="Y638" s="7"/>
      <c r="Z638" s="7"/>
      <c r="AA638" s="7"/>
      <c r="AB638" s="7"/>
      <c r="AC638" s="7"/>
      <c r="AD638" s="7"/>
      <c r="AE638" s="8"/>
      <c r="AF638" s="8"/>
      <c r="AG638" s="7"/>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7">
        <f>7664+9</f>
        <v>7673</v>
      </c>
      <c r="Q639" s="3"/>
      <c r="R639" s="3"/>
      <c r="S639" s="6"/>
      <c r="T639" s="7"/>
      <c r="U639" s="7"/>
      <c r="V639" s="7"/>
      <c r="W639" s="7"/>
      <c r="X639" s="7"/>
      <c r="Y639" s="7"/>
      <c r="Z639" s="7"/>
      <c r="AA639" s="7"/>
      <c r="AB639" s="7"/>
      <c r="AC639" s="7"/>
      <c r="AD639" s="7"/>
      <c r="AE639" s="8"/>
      <c r="AF639" s="8"/>
      <c r="AG639" s="7"/>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7">
        <f>7258+9</f>
        <v>7267</v>
      </c>
      <c r="Q640" s="3"/>
      <c r="R640" s="3"/>
      <c r="S640" s="6"/>
      <c r="T640" s="7"/>
      <c r="U640" s="7"/>
      <c r="V640" s="7"/>
      <c r="W640" s="7"/>
      <c r="X640" s="7"/>
      <c r="Y640" s="7"/>
      <c r="Z640" s="7"/>
      <c r="AA640" s="7"/>
      <c r="AB640" s="7"/>
      <c r="AC640" s="7"/>
      <c r="AD640" s="7"/>
      <c r="AE640" s="8"/>
      <c r="AF640" s="8"/>
      <c r="AG640" s="7"/>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7">
        <f>5942+17</f>
        <v>5959</v>
      </c>
      <c r="Q641" s="3"/>
      <c r="R641" s="3"/>
      <c r="S641" s="6"/>
      <c r="T641" s="7"/>
      <c r="U641" s="7"/>
      <c r="V641" s="7"/>
      <c r="W641" s="7"/>
      <c r="X641" s="7"/>
      <c r="Y641" s="7"/>
      <c r="Z641" s="7"/>
      <c r="AA641" s="7"/>
      <c r="AB641" s="7"/>
      <c r="AC641" s="7"/>
      <c r="AD641" s="7"/>
      <c r="AE641" s="8"/>
      <c r="AF641" s="8"/>
      <c r="AG641" s="7"/>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7">
        <f>5369+9</f>
        <v>5378</v>
      </c>
      <c r="Q642" s="3"/>
      <c r="R642" s="3"/>
      <c r="S642" s="6"/>
      <c r="T642" s="7"/>
      <c r="U642" s="7"/>
      <c r="V642" s="7"/>
      <c r="W642" s="7"/>
      <c r="X642" s="7"/>
      <c r="Y642" s="7"/>
      <c r="Z642" s="7"/>
      <c r="AA642" s="7"/>
      <c r="AB642" s="7"/>
      <c r="AC642" s="7"/>
      <c r="AD642" s="7"/>
      <c r="AE642" s="8"/>
      <c r="AF642" s="8"/>
      <c r="AG642" s="7"/>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7">
        <f>4808+10</f>
        <v>4818</v>
      </c>
      <c r="Q643" s="3"/>
      <c r="R643" s="3"/>
      <c r="S643" s="6"/>
      <c r="T643" s="7"/>
      <c r="U643" s="7"/>
      <c r="V643" s="7"/>
      <c r="W643" s="7"/>
      <c r="X643" s="7"/>
      <c r="Y643" s="7"/>
      <c r="Z643" s="7"/>
      <c r="AA643" s="7"/>
      <c r="AB643" s="7"/>
      <c r="AC643" s="7"/>
      <c r="AD643" s="7"/>
      <c r="AE643" s="8"/>
      <c r="AF643" s="8"/>
      <c r="AG643" s="7"/>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7">
        <f>4372+3</f>
        <v>4375</v>
      </c>
      <c r="Q644" s="3"/>
      <c r="R644" s="3"/>
      <c r="S644" s="6"/>
      <c r="T644" s="7"/>
      <c r="U644" s="7"/>
      <c r="V644" s="7"/>
      <c r="W644" s="7"/>
      <c r="X644" s="7"/>
      <c r="Y644" s="7"/>
      <c r="Z644" s="7"/>
      <c r="AA644" s="7"/>
      <c r="AB644" s="7"/>
      <c r="AC644" s="7"/>
      <c r="AD644" s="7"/>
      <c r="AE644" s="8"/>
      <c r="AF644" s="8"/>
      <c r="AG644" s="7"/>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7">
        <f>2979+18</f>
        <v>2997</v>
      </c>
      <c r="Q645" s="3"/>
      <c r="R645" s="3"/>
      <c r="S645" s="6"/>
      <c r="T645" s="7"/>
      <c r="U645" s="7"/>
      <c r="V645" s="7"/>
      <c r="W645" s="7"/>
      <c r="X645" s="7"/>
      <c r="Y645" s="7"/>
      <c r="Z645" s="7"/>
      <c r="AA645" s="7"/>
      <c r="AB645" s="7"/>
      <c r="AC645" s="7"/>
      <c r="AD645" s="7"/>
      <c r="AE645" s="8"/>
      <c r="AF645" s="8"/>
      <c r="AG645" s="7"/>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7">
        <f>3943+9</f>
        <v>3952</v>
      </c>
      <c r="Q646" s="3"/>
      <c r="R646" s="3"/>
      <c r="S646" s="6"/>
      <c r="T646" s="7"/>
      <c r="U646" s="7"/>
      <c r="V646" s="7"/>
      <c r="W646" s="7"/>
      <c r="X646" s="7"/>
      <c r="Y646" s="7"/>
      <c r="Z646" s="7"/>
      <c r="AA646" s="7"/>
      <c r="AB646" s="7"/>
      <c r="AC646" s="7"/>
      <c r="AD646" s="7"/>
      <c r="AE646" s="8"/>
      <c r="AF646" s="8"/>
      <c r="AG646" s="7"/>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7">
        <f>3550+4</f>
        <v>3554</v>
      </c>
      <c r="Q647" s="3"/>
      <c r="R647" s="3"/>
      <c r="S647" s="6"/>
      <c r="T647" s="7"/>
      <c r="U647" s="7"/>
      <c r="V647" s="7"/>
      <c r="W647" s="7"/>
      <c r="X647" s="7"/>
      <c r="Y647" s="7"/>
      <c r="Z647" s="7"/>
      <c r="AA647" s="7"/>
      <c r="AB647" s="7"/>
      <c r="AC647" s="7"/>
      <c r="AD647" s="7"/>
      <c r="AE647" s="8"/>
      <c r="AF647" s="8"/>
      <c r="AG647" s="7"/>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7">
        <f>3650+6</f>
        <v>3656</v>
      </c>
      <c r="Q648" s="3"/>
      <c r="R648" s="3"/>
      <c r="S648" s="6"/>
      <c r="T648" s="7"/>
      <c r="U648" s="7"/>
      <c r="V648" s="7"/>
      <c r="W648" s="7"/>
      <c r="X648" s="7"/>
      <c r="Y648" s="7"/>
      <c r="Z648" s="7"/>
      <c r="AA648" s="7"/>
      <c r="AB648" s="7"/>
      <c r="AC648" s="7"/>
      <c r="AD648" s="7"/>
      <c r="AE648" s="8"/>
      <c r="AF648" s="8"/>
      <c r="AG648" s="7"/>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7">
        <f>3799+5</f>
        <v>3804</v>
      </c>
      <c r="Q649" s="3"/>
      <c r="R649" s="3"/>
      <c r="S649" s="6"/>
      <c r="T649" s="7"/>
      <c r="U649" s="7"/>
      <c r="V649" s="7"/>
      <c r="W649" s="7"/>
      <c r="X649" s="7"/>
      <c r="Y649" s="7"/>
      <c r="Z649" s="7"/>
      <c r="AA649" s="7"/>
      <c r="AB649" s="7"/>
      <c r="AC649" s="7"/>
      <c r="AD649" s="7"/>
      <c r="AE649" s="8"/>
      <c r="AF649" s="8"/>
      <c r="AG649" s="7"/>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7">
        <f>3826+3</f>
        <v>3829</v>
      </c>
      <c r="Q650" s="3"/>
      <c r="R650" s="3"/>
      <c r="S650" s="6"/>
      <c r="T650" s="7"/>
      <c r="U650" s="7"/>
      <c r="V650" s="7"/>
      <c r="W650" s="7"/>
      <c r="X650" s="7"/>
      <c r="Y650" s="7"/>
      <c r="Z650" s="7"/>
      <c r="AA650" s="7"/>
      <c r="AB650" s="7"/>
      <c r="AC650" s="7"/>
      <c r="AD650" s="7"/>
      <c r="AE650" s="8"/>
      <c r="AF650" s="8"/>
      <c r="AG650" s="7"/>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7">
        <f>3572+6</f>
        <v>3578</v>
      </c>
      <c r="Q651" s="3"/>
      <c r="R651" s="3"/>
      <c r="S651" s="6"/>
      <c r="T651" s="7"/>
      <c r="U651" s="7"/>
      <c r="V651" s="7"/>
      <c r="W651" s="7"/>
      <c r="X651" s="7"/>
      <c r="Y651" s="7"/>
      <c r="Z651" s="7"/>
      <c r="AA651" s="7"/>
      <c r="AB651" s="7"/>
      <c r="AC651" s="7"/>
      <c r="AD651" s="7"/>
      <c r="AE651" s="8"/>
      <c r="AF651" s="8"/>
      <c r="AG651" s="7"/>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7">
        <f>3293+8</f>
        <v>3301</v>
      </c>
      <c r="Q652" s="3"/>
      <c r="R652" s="3"/>
      <c r="S652" s="6"/>
      <c r="T652" s="7"/>
      <c r="U652" s="7"/>
      <c r="V652" s="7"/>
      <c r="W652" s="7"/>
      <c r="X652" s="7"/>
      <c r="Y652" s="7"/>
      <c r="Z652" s="7"/>
      <c r="AA652" s="7"/>
      <c r="AB652" s="7"/>
      <c r="AC652" s="7"/>
      <c r="AD652" s="7"/>
      <c r="AE652" s="8"/>
      <c r="AF652" s="8"/>
      <c r="AG652" s="7"/>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7">
        <f>3152+1</f>
        <v>3153</v>
      </c>
      <c r="Q653" s="3"/>
      <c r="R653" s="3"/>
      <c r="S653" s="6"/>
      <c r="T653" s="7"/>
      <c r="U653" s="7"/>
      <c r="V653" s="7"/>
      <c r="W653" s="7"/>
      <c r="X653" s="7"/>
      <c r="Y653" s="7"/>
      <c r="Z653" s="7"/>
      <c r="AA653" s="7"/>
      <c r="AB653" s="7"/>
      <c r="AC653" s="7"/>
      <c r="AD653" s="7"/>
      <c r="AE653" s="8"/>
      <c r="AF653" s="8"/>
      <c r="AG653" s="7"/>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7">
        <f>3165+7</f>
        <v>3172</v>
      </c>
      <c r="Q654" s="3"/>
      <c r="R654" s="3"/>
      <c r="S654" s="6"/>
      <c r="T654" s="7"/>
      <c r="U654" s="7"/>
      <c r="V654" s="7"/>
      <c r="W654" s="7"/>
      <c r="X654" s="7"/>
      <c r="Y654" s="7"/>
      <c r="Z654" s="7"/>
      <c r="AA654" s="7"/>
      <c r="AB654" s="7"/>
      <c r="AC654" s="7"/>
      <c r="AD654" s="7"/>
      <c r="AE654" s="8"/>
      <c r="AF654" s="8"/>
      <c r="AG654" s="7"/>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7">
        <f>2854+17</f>
        <v>2871</v>
      </c>
      <c r="Q655" s="3"/>
      <c r="R655" s="3"/>
      <c r="S655" s="6"/>
      <c r="T655" s="7"/>
      <c r="U655" s="7"/>
      <c r="V655" s="7"/>
      <c r="W655" s="7"/>
      <c r="X655" s="7"/>
      <c r="Y655" s="7"/>
      <c r="Z655" s="7"/>
      <c r="AA655" s="7"/>
      <c r="AB655" s="7"/>
      <c r="AC655" s="7"/>
      <c r="AD655" s="7"/>
      <c r="AE655" s="8"/>
      <c r="AF655" s="8"/>
      <c r="AG655" s="7"/>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7">
        <f>3003+16</f>
        <v>3019</v>
      </c>
      <c r="Q656" s="3"/>
      <c r="R656" s="3"/>
      <c r="S656" s="6"/>
      <c r="T656" s="7"/>
      <c r="U656" s="7"/>
      <c r="V656" s="7"/>
      <c r="W656" s="7"/>
      <c r="X656" s="7"/>
      <c r="Y656" s="7"/>
      <c r="Z656" s="7"/>
      <c r="AA656" s="7"/>
      <c r="AB656" s="7"/>
      <c r="AC656" s="7"/>
      <c r="AD656" s="7"/>
      <c r="AE656" s="8"/>
      <c r="AF656" s="8"/>
      <c r="AG656" s="7"/>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7">
        <f>2954+3</f>
        <v>2957</v>
      </c>
      <c r="Q657" s="3"/>
      <c r="R657" s="3"/>
      <c r="S657" s="6"/>
      <c r="T657" s="7"/>
      <c r="U657" s="7"/>
      <c r="V657" s="7"/>
      <c r="W657" s="7"/>
      <c r="X657" s="7"/>
      <c r="Y657" s="7"/>
      <c r="Z657" s="7"/>
      <c r="AA657" s="7"/>
      <c r="AB657" s="7"/>
      <c r="AC657" s="7"/>
      <c r="AD657" s="7"/>
      <c r="AE657" s="8"/>
      <c r="AF657" s="8"/>
      <c r="AG657" s="7"/>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7">
        <f>2756+3</f>
        <v>2759</v>
      </c>
      <c r="Q658" s="3"/>
      <c r="R658" s="3"/>
      <c r="S658" s="6"/>
      <c r="T658" s="7"/>
      <c r="U658" s="7"/>
      <c r="V658" s="7"/>
      <c r="W658" s="7"/>
      <c r="X658" s="7"/>
      <c r="Y658" s="7"/>
      <c r="Z658" s="7"/>
      <c r="AA658" s="7"/>
      <c r="AB658" s="7"/>
      <c r="AC658" s="7"/>
      <c r="AD658" s="7"/>
      <c r="AE658" s="8"/>
      <c r="AF658" s="8"/>
      <c r="AG658" s="7"/>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7">
        <f>6498+0</f>
        <v>6498</v>
      </c>
      <c r="Q659" s="3"/>
      <c r="R659" s="3"/>
      <c r="S659" s="6"/>
      <c r="T659" s="7"/>
      <c r="U659" s="7"/>
      <c r="V659" s="7"/>
      <c r="W659" s="7"/>
      <c r="X659" s="7"/>
      <c r="Y659" s="7"/>
      <c r="Z659" s="7"/>
      <c r="AA659" s="7"/>
      <c r="AB659" s="7"/>
      <c r="AC659" s="7"/>
      <c r="AD659" s="7"/>
      <c r="AE659" s="8"/>
      <c r="AF659" s="8"/>
      <c r="AG659" s="7"/>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7">
        <f>8270+10</f>
        <v>8280</v>
      </c>
      <c r="Q660" s="3"/>
      <c r="R660" s="3"/>
      <c r="S660" s="6"/>
      <c r="T660" s="7"/>
      <c r="U660" s="7"/>
      <c r="V660" s="7"/>
      <c r="W660" s="7"/>
      <c r="X660" s="7"/>
      <c r="Y660" s="7"/>
      <c r="Z660" s="7"/>
      <c r="AA660" s="7"/>
      <c r="AB660" s="7"/>
      <c r="AC660" s="7"/>
      <c r="AD660" s="7"/>
      <c r="AE660" s="8"/>
      <c r="AF660" s="8"/>
      <c r="AG660" s="7"/>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7">
        <f>4032+7</f>
        <v>4039</v>
      </c>
      <c r="Q661" s="3"/>
      <c r="R661" s="3"/>
      <c r="S661" s="6"/>
      <c r="T661" s="7"/>
      <c r="U661" s="7"/>
      <c r="V661" s="7"/>
      <c r="W661" s="7"/>
      <c r="X661" s="7"/>
      <c r="Y661" s="7"/>
      <c r="Z661" s="7"/>
      <c r="AA661" s="7"/>
      <c r="AB661" s="7"/>
      <c r="AC661" s="7"/>
      <c r="AD661" s="7"/>
      <c r="AE661" s="8"/>
      <c r="AF661" s="8"/>
      <c r="AG661" s="7"/>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7">
        <f>3275+1</f>
        <v>3276</v>
      </c>
      <c r="Q662" s="3"/>
      <c r="R662" s="3"/>
      <c r="S662" s="6"/>
      <c r="T662" s="7"/>
      <c r="U662" s="7"/>
      <c r="V662" s="7"/>
      <c r="W662" s="7"/>
      <c r="X662" s="7"/>
      <c r="Y662" s="7"/>
      <c r="Z662" s="7"/>
      <c r="AA662" s="7"/>
      <c r="AB662" s="7"/>
      <c r="AC662" s="7"/>
      <c r="AD662" s="7"/>
      <c r="AE662" s="8"/>
      <c r="AF662" s="8"/>
      <c r="AG662" s="7"/>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7">
        <f>3799+1</f>
        <v>3800</v>
      </c>
      <c r="Q663" s="3"/>
      <c r="R663" s="3"/>
      <c r="S663" s="6"/>
      <c r="T663" s="7"/>
      <c r="U663" s="7"/>
      <c r="V663" s="7"/>
      <c r="W663" s="7"/>
      <c r="X663" s="7"/>
      <c r="Y663" s="7"/>
      <c r="Z663" s="7"/>
      <c r="AA663" s="7"/>
      <c r="AB663" s="7"/>
      <c r="AC663" s="7"/>
      <c r="AD663" s="7"/>
      <c r="AE663" s="8"/>
      <c r="AF663" s="8"/>
      <c r="AG663" s="7"/>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7">
        <f>3004+1</f>
        <v>3005</v>
      </c>
      <c r="Q664" s="3"/>
      <c r="R664" s="3"/>
      <c r="S664" s="6"/>
      <c r="T664" s="7"/>
      <c r="U664" s="7"/>
      <c r="V664" s="7"/>
      <c r="W664" s="7"/>
      <c r="X664" s="7"/>
      <c r="Y664" s="7"/>
      <c r="Z664" s="7"/>
      <c r="AA664" s="7"/>
      <c r="AB664" s="7"/>
      <c r="AC664" s="7"/>
      <c r="AD664" s="7"/>
      <c r="AE664" s="8"/>
      <c r="AF664" s="8"/>
      <c r="AG664" s="7"/>
    </row>
    <row r="665" spans="1:33" ht="19.7" customHeight="1" x14ac:dyDescent="0.25">
      <c r="A665" s="6">
        <v>44492</v>
      </c>
      <c r="B665" s="7">
        <f t="shared" ref="B665" si="1187">IF(SUM(C665:J665)="","",SUM(C665:J665))</f>
        <v>20015</v>
      </c>
      <c r="C665" s="7">
        <f>19804+43</f>
        <v>19847</v>
      </c>
      <c r="D665" s="7">
        <v>110</v>
      </c>
      <c r="E665" s="7">
        <v>54</v>
      </c>
      <c r="F665" s="7">
        <v>0</v>
      </c>
      <c r="G665" s="7">
        <v>0</v>
      </c>
      <c r="H665" s="7">
        <v>0</v>
      </c>
      <c r="I665" s="7">
        <v>0</v>
      </c>
      <c r="J665" s="7">
        <v>4</v>
      </c>
      <c r="K665" s="7">
        <f t="shared" ref="K665" si="1188">IF(B665=0,"",B665-B613)</f>
        <v>-108866</v>
      </c>
      <c r="L665" s="7">
        <f t="shared" ref="L665" si="1189">IF(C665=0,"",C665-C613)</f>
        <v>-106005</v>
      </c>
      <c r="M665" s="8">
        <f t="shared" ref="M665" si="1190">IF(K665="","",B665/B613-1)</f>
        <v>-0.84470170156966506</v>
      </c>
      <c r="N665" s="8">
        <f t="shared" ref="N665" si="1191">IF(L665="","",C665/C613-1)</f>
        <v>-0.84229889076057596</v>
      </c>
      <c r="O665" s="7">
        <f>2845+0</f>
        <v>2845</v>
      </c>
      <c r="Q665" s="3"/>
      <c r="R665" s="3"/>
      <c r="S665" s="6"/>
      <c r="T665" s="7"/>
      <c r="U665" s="7"/>
      <c r="V665" s="7"/>
      <c r="W665" s="7"/>
      <c r="X665" s="7"/>
      <c r="Y665" s="7"/>
      <c r="Z665" s="7"/>
      <c r="AA665" s="7"/>
      <c r="AB665" s="7"/>
      <c r="AC665" s="7"/>
      <c r="AD665" s="7"/>
      <c r="AE665" s="8"/>
      <c r="AF665" s="8"/>
      <c r="AG665" s="7"/>
    </row>
    <row r="666" spans="1:33" ht="19.7" customHeight="1" x14ac:dyDescent="0.25">
      <c r="A666" s="6">
        <v>44499</v>
      </c>
      <c r="B666" s="7">
        <f t="shared" ref="B666" si="1192">IF(SUM(C666:J666)="","",SUM(C666:J666))</f>
        <v>18984</v>
      </c>
      <c r="C666" s="7">
        <f>18800+35</f>
        <v>18835</v>
      </c>
      <c r="D666" s="7">
        <v>113</v>
      </c>
      <c r="E666" s="7">
        <v>32</v>
      </c>
      <c r="F666" s="7">
        <v>0</v>
      </c>
      <c r="G666" s="7">
        <v>0</v>
      </c>
      <c r="H666" s="7">
        <v>0</v>
      </c>
      <c r="I666" s="7">
        <v>0</v>
      </c>
      <c r="J666" s="7">
        <v>4</v>
      </c>
      <c r="K666" s="7">
        <f t="shared" ref="K666" si="1193">IF(B666=0,"",B666-B614)</f>
        <v>-96825</v>
      </c>
      <c r="L666" s="7">
        <f t="shared" ref="L666" si="1194">IF(C666=0,"",C666-C614)</f>
        <v>-93591</v>
      </c>
      <c r="M666" s="8">
        <f t="shared" ref="M666" si="1195">IF(K666="","",B666/B614-1)</f>
        <v>-0.83607491645727017</v>
      </c>
      <c r="N666" s="8">
        <f t="shared" ref="N666" si="1196">IF(L666="","",C666/C614-1)</f>
        <v>-0.83246757867397225</v>
      </c>
      <c r="O666" s="7">
        <f>2713+1</f>
        <v>2714</v>
      </c>
      <c r="Q666" s="3"/>
      <c r="R666" s="3"/>
      <c r="S666" s="6"/>
      <c r="T666" s="7"/>
      <c r="U666" s="7"/>
      <c r="V666" s="7"/>
      <c r="W666" s="7"/>
      <c r="X666" s="7"/>
      <c r="Y666" s="7"/>
      <c r="Z666" s="7"/>
      <c r="AA666" s="7"/>
      <c r="AB666" s="7"/>
      <c r="AC666" s="7"/>
      <c r="AD666" s="7"/>
      <c r="AE666" s="8"/>
      <c r="AF666" s="8"/>
      <c r="AG666" s="7"/>
    </row>
    <row r="667" spans="1:33" ht="19.7" customHeight="1" x14ac:dyDescent="0.25">
      <c r="A667" s="6">
        <v>44506</v>
      </c>
      <c r="B667" s="7">
        <f t="shared" ref="B667" si="1197">IF(SUM(C667:J667)="","",SUM(C667:J667))</f>
        <v>19012</v>
      </c>
      <c r="C667" s="7">
        <f>18822+49</f>
        <v>18871</v>
      </c>
      <c r="D667" s="7">
        <v>98</v>
      </c>
      <c r="E667" s="7">
        <v>37</v>
      </c>
      <c r="F667" s="7">
        <v>0</v>
      </c>
      <c r="G667" s="7">
        <v>0</v>
      </c>
      <c r="H667" s="7">
        <v>0</v>
      </c>
      <c r="I667" s="7">
        <v>0</v>
      </c>
      <c r="J667" s="7">
        <v>6</v>
      </c>
      <c r="K667" s="7">
        <f t="shared" ref="K667" si="1198">IF(B667=0,"",B667-B615)</f>
        <v>-88119</v>
      </c>
      <c r="L667" s="7">
        <f t="shared" ref="L667" si="1199">IF(C667=0,"",C667-C615)</f>
        <v>-84372</v>
      </c>
      <c r="M667" s="8">
        <f t="shared" ref="M667" si="1200">IF(K667="","",B667/B615-1)</f>
        <v>-0.82253502720967786</v>
      </c>
      <c r="N667" s="8">
        <f t="shared" ref="N667" si="1201">IF(L667="","",C667/C615-1)</f>
        <v>-0.8172176321881387</v>
      </c>
      <c r="O667" s="7">
        <f>2743+5</f>
        <v>2748</v>
      </c>
      <c r="Q667" s="3"/>
      <c r="R667" s="3"/>
      <c r="S667" s="6"/>
      <c r="T667" s="7"/>
      <c r="U667" s="7"/>
      <c r="V667" s="7"/>
      <c r="W667" s="7"/>
      <c r="X667" s="7"/>
      <c r="Y667" s="7"/>
      <c r="Z667" s="7"/>
      <c r="AA667" s="7"/>
      <c r="AB667" s="7"/>
      <c r="AC667" s="7"/>
      <c r="AD667" s="7"/>
      <c r="AE667" s="8"/>
      <c r="AF667" s="8"/>
      <c r="AG667" s="7"/>
    </row>
    <row r="668" spans="1:33" ht="19.7" customHeight="1" x14ac:dyDescent="0.25">
      <c r="A668" s="6">
        <v>44513</v>
      </c>
      <c r="B668" s="7">
        <f t="shared" ref="B668" si="1202">IF(SUM(C668:J668)="","",SUM(C668:J668))</f>
        <v>16798</v>
      </c>
      <c r="C668" s="7">
        <f>16615+29</f>
        <v>16644</v>
      </c>
      <c r="D668" s="7">
        <v>95</v>
      </c>
      <c r="E668" s="7">
        <v>49</v>
      </c>
      <c r="F668" s="7">
        <v>0</v>
      </c>
      <c r="G668" s="7">
        <v>0</v>
      </c>
      <c r="H668" s="7">
        <v>0</v>
      </c>
      <c r="I668" s="7">
        <v>0</v>
      </c>
      <c r="J668" s="7">
        <v>10</v>
      </c>
      <c r="K668" s="7">
        <f t="shared" ref="K668" si="1203">IF(B668=0,"",B668-B616)</f>
        <v>-82803</v>
      </c>
      <c r="L668" s="7">
        <f t="shared" ref="L668" si="1204">IF(C668=0,"",C668-C616)</f>
        <v>-78520</v>
      </c>
      <c r="M668" s="8">
        <f t="shared" ref="M668" si="1205">IF(K668="","",B668/B616-1)</f>
        <v>-0.83134707482856596</v>
      </c>
      <c r="N668" s="8">
        <f t="shared" ref="N668" si="1206">IF(L668="","",C668/C616-1)</f>
        <v>-0.82510192930099624</v>
      </c>
      <c r="O668" s="7">
        <f>2587+1</f>
        <v>2588</v>
      </c>
      <c r="Q668" s="3"/>
      <c r="R668" s="3"/>
      <c r="S668" s="6"/>
      <c r="T668" s="7"/>
      <c r="U668" s="7"/>
      <c r="V668" s="7"/>
      <c r="W668" s="7"/>
      <c r="X668" s="7"/>
      <c r="Y668" s="7"/>
      <c r="Z668" s="7"/>
      <c r="AA668" s="7"/>
      <c r="AB668" s="7"/>
      <c r="AC668" s="7"/>
      <c r="AD668" s="7"/>
      <c r="AE668" s="8"/>
      <c r="AF668" s="8"/>
      <c r="AG668" s="7"/>
    </row>
    <row r="669" spans="1:33" ht="19.7" customHeight="1" x14ac:dyDescent="0.25">
      <c r="A669" s="6">
        <v>44520</v>
      </c>
      <c r="B669" s="7">
        <f t="shared" ref="B669" si="1207">IF(SUM(C669:J669)="","",SUM(C669:J669))</f>
        <v>16902</v>
      </c>
      <c r="C669" s="7">
        <f>16696+34</f>
        <v>16730</v>
      </c>
      <c r="D669" s="7">
        <v>141</v>
      </c>
      <c r="E669" s="7">
        <v>23</v>
      </c>
      <c r="F669" s="7">
        <v>0</v>
      </c>
      <c r="G669" s="7">
        <v>0</v>
      </c>
      <c r="H669" s="7">
        <v>0</v>
      </c>
      <c r="I669" s="7">
        <v>0</v>
      </c>
      <c r="J669" s="7">
        <v>8</v>
      </c>
      <c r="K669" s="7">
        <f t="shared" ref="K669" si="1208">IF(B669=0,"",B669-B617)</f>
        <v>-79669</v>
      </c>
      <c r="L669" s="7">
        <f t="shared" ref="L669" si="1209">IF(C669=0,"",C669-C617)</f>
        <v>-74755</v>
      </c>
      <c r="M669" s="8">
        <f t="shared" ref="M669" si="1210">IF(K669="","",B669/B617-1)</f>
        <v>-0.82497851321825388</v>
      </c>
      <c r="N669" s="8">
        <f t="shared" ref="N669" si="1211">IF(L669="","",C669/C617-1)</f>
        <v>-0.81712849100945517</v>
      </c>
      <c r="O669" s="7">
        <f>2755+2</f>
        <v>2757</v>
      </c>
      <c r="Q669" s="3"/>
      <c r="R669" s="3"/>
      <c r="S669" s="6"/>
      <c r="T669" s="7"/>
      <c r="U669" s="7"/>
      <c r="V669" s="7"/>
      <c r="W669" s="7"/>
      <c r="X669" s="7"/>
      <c r="Y669" s="7"/>
      <c r="Z669" s="7"/>
      <c r="AA669" s="7"/>
      <c r="AB669" s="7"/>
      <c r="AC669" s="7"/>
      <c r="AD669" s="7"/>
      <c r="AE669" s="8"/>
      <c r="AF669" s="8"/>
      <c r="AG669" s="7"/>
    </row>
    <row r="670" spans="1:33" ht="19.7" customHeight="1" x14ac:dyDescent="0.25">
      <c r="A670" s="6">
        <v>44527</v>
      </c>
      <c r="B670" s="7">
        <f t="shared" ref="B670" si="1212">IF(SUM(C670:J670)="","",SUM(C670:J670))</f>
        <v>14405</v>
      </c>
      <c r="C670" s="7">
        <f>14188+21</f>
        <v>14209</v>
      </c>
      <c r="D670" s="7">
        <v>165</v>
      </c>
      <c r="E670" s="7">
        <v>24</v>
      </c>
      <c r="F670" s="7">
        <v>0</v>
      </c>
      <c r="G670" s="7">
        <v>0</v>
      </c>
      <c r="H670" s="7">
        <v>0</v>
      </c>
      <c r="I670" s="7">
        <v>0</v>
      </c>
      <c r="J670" s="7">
        <v>7</v>
      </c>
      <c r="K670" s="7">
        <f t="shared" ref="K670" si="1213">IF(B670=0,"",B670-B618)</f>
        <v>-72462</v>
      </c>
      <c r="L670" s="7">
        <f t="shared" ref="L670" si="1214">IF(C670=0,"",C670-C618)</f>
        <v>-67010</v>
      </c>
      <c r="M670" s="8">
        <f t="shared" ref="M670" si="1215">IF(K670="","",B670/B618-1)</f>
        <v>-0.83417177984735291</v>
      </c>
      <c r="N670" s="8">
        <f t="shared" ref="N670" si="1216">IF(L670="","",C670/C618-1)</f>
        <v>-0.82505325108656846</v>
      </c>
      <c r="O670" s="7">
        <f>1956+0</f>
        <v>1956</v>
      </c>
      <c r="Q670" s="3"/>
      <c r="R670" s="3"/>
      <c r="S670" s="6"/>
      <c r="T670" s="7"/>
      <c r="U670" s="7"/>
      <c r="V670" s="7"/>
      <c r="W670" s="7"/>
      <c r="X670" s="7"/>
      <c r="Y670" s="7"/>
      <c r="Z670" s="7"/>
      <c r="AA670" s="7"/>
      <c r="AB670" s="7"/>
      <c r="AC670" s="7"/>
      <c r="AD670" s="7"/>
      <c r="AE670" s="8"/>
      <c r="AF670" s="8"/>
      <c r="AG670" s="7"/>
    </row>
    <row r="671" spans="1:33" ht="19.7" customHeight="1" x14ac:dyDescent="0.25">
      <c r="A671" s="6">
        <v>44534</v>
      </c>
      <c r="B671" s="7">
        <f t="shared" ref="B671" si="1217">IF(SUM(C671:J671)="","",SUM(C671:J671))</f>
        <v>15371</v>
      </c>
      <c r="C671" s="7">
        <f>15158+32</f>
        <v>15190</v>
      </c>
      <c r="D671" s="7">
        <v>149</v>
      </c>
      <c r="E671" s="7">
        <v>27</v>
      </c>
      <c r="F671" s="7">
        <v>0</v>
      </c>
      <c r="G671" s="7">
        <v>0</v>
      </c>
      <c r="H671" s="7">
        <v>0</v>
      </c>
      <c r="I671" s="7">
        <v>0</v>
      </c>
      <c r="J671" s="7">
        <v>5</v>
      </c>
      <c r="K671" s="7">
        <f t="shared" ref="K671" si="1218">IF(B671=0,"",B671-B619)</f>
        <v>-73639</v>
      </c>
      <c r="L671" s="7">
        <f t="shared" ref="L671" si="1219">IF(C671=0,"",C671-C619)</f>
        <v>-67424</v>
      </c>
      <c r="M671" s="8">
        <f t="shared" ref="M671" si="1220">IF(K671="","",B671/B619-1)</f>
        <v>-0.82731153802943491</v>
      </c>
      <c r="N671" s="8">
        <f t="shared" ref="N671" si="1221">IF(L671="","",C671/C619-1)</f>
        <v>-0.81613285883748521</v>
      </c>
      <c r="O671" s="7">
        <f>2696+1</f>
        <v>2697</v>
      </c>
      <c r="Q671" s="3"/>
      <c r="R671" s="3"/>
      <c r="S671" s="6"/>
      <c r="T671" s="7"/>
      <c r="U671" s="7"/>
      <c r="V671" s="7"/>
      <c r="W671" s="7"/>
      <c r="X671" s="7"/>
      <c r="Y671" s="7"/>
      <c r="Z671" s="7"/>
      <c r="AA671" s="7"/>
      <c r="AB671" s="7"/>
      <c r="AC671" s="7"/>
      <c r="AD671" s="7"/>
      <c r="AE671" s="8"/>
      <c r="AF671" s="8"/>
      <c r="AG671" s="7"/>
    </row>
    <row r="672" spans="1:33" ht="19.7" customHeight="1" x14ac:dyDescent="0.25">
      <c r="A672" s="6">
        <v>44541</v>
      </c>
      <c r="B672" s="7">
        <f t="shared" ref="B672" si="1222">IF(SUM(C672:J672)="","",SUM(C672:J672))</f>
        <v>13837</v>
      </c>
      <c r="C672" s="7">
        <f>13634+23</f>
        <v>13657</v>
      </c>
      <c r="D672" s="7">
        <v>154</v>
      </c>
      <c r="E672" s="7">
        <v>23</v>
      </c>
      <c r="F672" s="7">
        <v>0</v>
      </c>
      <c r="G672" s="7">
        <v>0</v>
      </c>
      <c r="H672" s="7">
        <v>0</v>
      </c>
      <c r="I672" s="7">
        <v>0</v>
      </c>
      <c r="J672" s="7">
        <v>3</v>
      </c>
      <c r="K672" s="7">
        <f t="shared" ref="K672" si="1223">IF(B672=0,"",B672-B620)</f>
        <v>-69297</v>
      </c>
      <c r="L672" s="7">
        <f t="shared" ref="L672" si="1224">IF(C672=0,"",C672-C620)</f>
        <v>-62323</v>
      </c>
      <c r="M672" s="8">
        <f t="shared" ref="M672" si="1225">IF(K672="","",B672/B620-1)</f>
        <v>-0.83355787042605911</v>
      </c>
      <c r="N672" s="8">
        <f t="shared" ref="N672" si="1226">IF(L672="","",C672/C620-1)</f>
        <v>-0.82025533035009213</v>
      </c>
      <c r="O672" s="7">
        <f>2493+0</f>
        <v>2493</v>
      </c>
      <c r="Q672" s="3"/>
      <c r="R672" s="3"/>
      <c r="S672" s="6"/>
      <c r="T672" s="7"/>
      <c r="U672" s="7"/>
      <c r="V672" s="7"/>
      <c r="W672" s="7"/>
      <c r="X672" s="7"/>
      <c r="Y672" s="7"/>
      <c r="Z672" s="7"/>
      <c r="AA672" s="7"/>
      <c r="AB672" s="7"/>
      <c r="AC672" s="7"/>
      <c r="AD672" s="7"/>
      <c r="AE672" s="8"/>
      <c r="AF672" s="8"/>
      <c r="AG672" s="7"/>
    </row>
    <row r="673" spans="1:33" ht="19.7" customHeight="1" x14ac:dyDescent="0.25">
      <c r="A673" s="6">
        <v>44548</v>
      </c>
      <c r="B673" s="7">
        <f t="shared" ref="B673" si="1227">IF(SUM(C673:J673)="","",SUM(C673:J673))</f>
        <v>14426</v>
      </c>
      <c r="C673" s="7">
        <f>14234+14</f>
        <v>14248</v>
      </c>
      <c r="D673" s="7">
        <v>156</v>
      </c>
      <c r="E673" s="7">
        <v>21</v>
      </c>
      <c r="F673" s="7">
        <v>0</v>
      </c>
      <c r="G673" s="7">
        <v>0</v>
      </c>
      <c r="H673" s="7">
        <v>0</v>
      </c>
      <c r="I673" s="7">
        <v>0</v>
      </c>
      <c r="J673" s="7">
        <v>1</v>
      </c>
      <c r="K673" s="7">
        <f t="shared" ref="K673" si="1228">IF(B673=0,"",B673-B621)</f>
        <v>-68528</v>
      </c>
      <c r="L673" s="7">
        <f t="shared" ref="L673" si="1229">IF(C673=0,"",C673-C621)</f>
        <v>-60798</v>
      </c>
      <c r="M673" s="8">
        <f t="shared" ref="M673" si="1230">IF(K673="","",B673/B621-1)</f>
        <v>-0.82609639077078867</v>
      </c>
      <c r="N673" s="8">
        <f t="shared" ref="N673" si="1231">IF(L673="","",C673/C621-1)</f>
        <v>-0.8101431122245023</v>
      </c>
      <c r="O673" s="7">
        <f>2506+0</f>
        <v>2506</v>
      </c>
      <c r="Q673" s="3"/>
      <c r="R673" s="3"/>
      <c r="S673" s="6"/>
      <c r="T673" s="7"/>
      <c r="U673" s="7"/>
      <c r="V673" s="7"/>
      <c r="W673" s="7"/>
      <c r="X673" s="7"/>
      <c r="Y673" s="7"/>
      <c r="Z673" s="7"/>
      <c r="AA673" s="7"/>
      <c r="AB673" s="7"/>
      <c r="AC673" s="7"/>
      <c r="AD673" s="7"/>
      <c r="AE673" s="8"/>
      <c r="AF673" s="8"/>
      <c r="AG673" s="7"/>
    </row>
    <row r="674" spans="1:33" ht="19.7" customHeight="1" x14ac:dyDescent="0.25">
      <c r="A674" s="6">
        <v>44555</v>
      </c>
      <c r="B674" s="7">
        <f t="shared" ref="B674" si="1232">IF(SUM(C674:J674)="","",SUM(C674:J674))</f>
        <v>12475</v>
      </c>
      <c r="C674" s="7">
        <f>12288+18</f>
        <v>12306</v>
      </c>
      <c r="D674" s="7">
        <v>143</v>
      </c>
      <c r="E674" s="7">
        <v>17</v>
      </c>
      <c r="F674" s="7">
        <v>0</v>
      </c>
      <c r="G674" s="7">
        <v>0</v>
      </c>
      <c r="H674" s="7">
        <v>0</v>
      </c>
      <c r="I674" s="7">
        <v>0</v>
      </c>
      <c r="J674" s="7">
        <v>9</v>
      </c>
      <c r="K674" s="7">
        <f t="shared" ref="K674" si="1233">IF(B674=0,"",B674-B622)</f>
        <v>-65165</v>
      </c>
      <c r="L674" s="7">
        <f t="shared" ref="L674" si="1234">IF(C674=0,"",C674-C622)</f>
        <v>-57469</v>
      </c>
      <c r="M674" s="8">
        <f t="shared" ref="M674" si="1235">IF(K674="","",B674/B622-1)</f>
        <v>-0.83932251416795467</v>
      </c>
      <c r="N674" s="8">
        <f t="shared" ref="N674" si="1236">IF(L674="","",C674/C622-1)</f>
        <v>-0.82363310641347187</v>
      </c>
      <c r="O674" s="7">
        <f>1849+1</f>
        <v>1850</v>
      </c>
      <c r="Q674" s="3"/>
      <c r="R674" s="3"/>
      <c r="S674" s="6"/>
      <c r="T674" s="7"/>
      <c r="U674" s="7"/>
      <c r="V674" s="7"/>
      <c r="W674" s="7"/>
      <c r="X674" s="7"/>
      <c r="Y674" s="7"/>
      <c r="Z674" s="7"/>
      <c r="AA674" s="7"/>
      <c r="AB674" s="7"/>
      <c r="AC674" s="7"/>
      <c r="AD674" s="7"/>
      <c r="AE674" s="8"/>
      <c r="AF674" s="8"/>
      <c r="AG674" s="7"/>
    </row>
    <row r="675" spans="1:33" ht="19.7" customHeight="1" x14ac:dyDescent="0.25">
      <c r="A675" s="6">
        <v>44562</v>
      </c>
      <c r="B675" s="7">
        <f t="shared" ref="B675" si="1237">IF(SUM(C675:J675)="","",SUM(C675:J675))</f>
        <v>13371</v>
      </c>
      <c r="C675" s="7">
        <f>13152+5</f>
        <v>13157</v>
      </c>
      <c r="D675" s="7">
        <v>172</v>
      </c>
      <c r="E675" s="7">
        <v>37</v>
      </c>
      <c r="F675" s="7">
        <v>0</v>
      </c>
      <c r="G675" s="7">
        <v>0</v>
      </c>
      <c r="H675" s="7">
        <v>0</v>
      </c>
      <c r="I675" s="7">
        <v>0</v>
      </c>
      <c r="J675" s="7">
        <v>5</v>
      </c>
      <c r="K675" s="7">
        <f t="shared" ref="K675" si="1238">IF(B675=0,"",B675-B623)</f>
        <v>-67040</v>
      </c>
      <c r="L675" s="7">
        <f t="shared" ref="L675" si="1239">IF(C675=0,"",C675-C623)</f>
        <v>-58744</v>
      </c>
      <c r="M675" s="8">
        <f t="shared" ref="M675" si="1240">IF(K675="","",B675/B623-1)</f>
        <v>-0.83371678004253147</v>
      </c>
      <c r="N675" s="8">
        <f t="shared" ref="N675" si="1241">IF(L675="","",C675/C623-1)</f>
        <v>-0.81701228077495447</v>
      </c>
      <c r="O675" s="7">
        <f>2140+1</f>
        <v>2141</v>
      </c>
      <c r="Q675" s="3"/>
      <c r="R675" s="3"/>
      <c r="S675" s="6"/>
      <c r="T675" s="7"/>
      <c r="U675" s="7"/>
      <c r="V675" s="7"/>
      <c r="W675" s="7"/>
      <c r="X675" s="7"/>
      <c r="Y675" s="7"/>
      <c r="Z675" s="7"/>
      <c r="AA675" s="7"/>
      <c r="AB675" s="7"/>
      <c r="AC675" s="7"/>
      <c r="AD675" s="7"/>
      <c r="AE675" s="8"/>
      <c r="AF675" s="8"/>
      <c r="AG675" s="7"/>
    </row>
    <row r="676" spans="1:33" ht="19.7" customHeight="1" x14ac:dyDescent="0.25">
      <c r="A676" s="6">
        <v>44569</v>
      </c>
      <c r="B676" s="7">
        <f t="shared" ref="B676" si="1242">IF(SUM(C676:J676)="","",SUM(C676:J676))</f>
        <v>14159</v>
      </c>
      <c r="C676" s="7">
        <f>13937+40</f>
        <v>13977</v>
      </c>
      <c r="D676" s="7">
        <v>155</v>
      </c>
      <c r="E676" s="7">
        <v>23</v>
      </c>
      <c r="F676" s="7">
        <v>0</v>
      </c>
      <c r="G676" s="7">
        <v>0</v>
      </c>
      <c r="H676" s="7">
        <v>0</v>
      </c>
      <c r="I676" s="7">
        <v>0</v>
      </c>
      <c r="J676" s="7">
        <v>4</v>
      </c>
      <c r="K676" s="7">
        <f t="shared" ref="K676" si="1243">IF(B676=0,"",B676-B624)</f>
        <v>-71477</v>
      </c>
      <c r="L676" s="7">
        <f t="shared" ref="L676" si="1244">IF(C676=0,"",C676-C624)</f>
        <v>-62842</v>
      </c>
      <c r="M676" s="8">
        <f t="shared" ref="M676" si="1245">IF(K676="","",B676/B624-1)</f>
        <v>-0.8346606567331496</v>
      </c>
      <c r="N676" s="8">
        <f t="shared" ref="N676" si="1246">IF(L676="","",C676/C624-1)</f>
        <v>-0.81805282547286473</v>
      </c>
      <c r="O676" s="7">
        <f>3315+2</f>
        <v>3317</v>
      </c>
      <c r="Q676" s="3"/>
      <c r="R676" s="3"/>
      <c r="S676" s="6"/>
      <c r="T676" s="7"/>
      <c r="U676" s="7"/>
      <c r="V676" s="7"/>
      <c r="W676" s="7"/>
      <c r="X676" s="7"/>
      <c r="Y676" s="7"/>
      <c r="Z676" s="7"/>
      <c r="AA676" s="7"/>
      <c r="AB676" s="7"/>
      <c r="AC676" s="7"/>
      <c r="AD676" s="7"/>
      <c r="AE676" s="8"/>
      <c r="AF676" s="8"/>
      <c r="AG676" s="7"/>
    </row>
    <row r="677" spans="1:33" ht="19.7" customHeight="1" x14ac:dyDescent="0.25">
      <c r="A677" s="6">
        <v>44576</v>
      </c>
      <c r="B677" s="7">
        <f t="shared" ref="B677" si="1247">IF(SUM(C677:J677)="","",SUM(C677:J677))</f>
        <v>13455</v>
      </c>
      <c r="C677" s="7">
        <f>13264+27</f>
        <v>13291</v>
      </c>
      <c r="D677" s="7">
        <v>142</v>
      </c>
      <c r="E677" s="7">
        <v>18</v>
      </c>
      <c r="F677" s="7">
        <v>0</v>
      </c>
      <c r="G677" s="7">
        <v>0</v>
      </c>
      <c r="H677" s="7">
        <v>0</v>
      </c>
      <c r="I677" s="7">
        <v>0</v>
      </c>
      <c r="J677" s="7">
        <v>4</v>
      </c>
      <c r="K677" s="7">
        <f t="shared" ref="K677" si="1248">IF(B677=0,"",B677-B625)</f>
        <v>-65912</v>
      </c>
      <c r="L677" s="7">
        <f t="shared" ref="L677" si="1249">IF(C677=0,"",C677-C625)</f>
        <v>-58078</v>
      </c>
      <c r="M677" s="8">
        <f t="shared" ref="M677" si="1250">IF(K677="","",B677/B625-1)</f>
        <v>-0.83047110259931711</v>
      </c>
      <c r="N677" s="8">
        <f t="shared" ref="N677" si="1251">IF(L677="","",C677/C625-1)</f>
        <v>-0.81377068475108238</v>
      </c>
      <c r="O677" s="7">
        <f>3067+1</f>
        <v>3068</v>
      </c>
      <c r="Q677" s="3"/>
      <c r="R677" s="3"/>
      <c r="S677" s="6"/>
      <c r="T677" s="7"/>
      <c r="U677" s="7"/>
      <c r="V677" s="7"/>
      <c r="W677" s="7"/>
      <c r="X677" s="7"/>
      <c r="Y677" s="7"/>
      <c r="Z677" s="7"/>
      <c r="AA677" s="7"/>
      <c r="AB677" s="7"/>
      <c r="AC677" s="7"/>
      <c r="AD677" s="7"/>
      <c r="AE677" s="8"/>
      <c r="AF677" s="8"/>
      <c r="AG677" s="7"/>
    </row>
    <row r="678" spans="1:33" ht="19.7" customHeight="1" x14ac:dyDescent="0.25">
      <c r="A678" s="6">
        <v>44583</v>
      </c>
      <c r="B678" s="7">
        <f t="shared" ref="B678" si="1252">IF(SUM(C678:J678)="","",SUM(C678:J678))</f>
        <v>13468</v>
      </c>
      <c r="C678" s="7">
        <f>13229+16</f>
        <v>13245</v>
      </c>
      <c r="D678" s="7">
        <v>199</v>
      </c>
      <c r="E678" s="7">
        <v>19</v>
      </c>
      <c r="F678" s="7">
        <v>0</v>
      </c>
      <c r="G678" s="7">
        <v>0</v>
      </c>
      <c r="H678" s="7">
        <v>0</v>
      </c>
      <c r="I678" s="7">
        <v>0</v>
      </c>
      <c r="J678" s="7">
        <v>5</v>
      </c>
      <c r="K678" s="7">
        <f t="shared" ref="K678" si="1253">IF(B678=0,"",B678-B626)</f>
        <v>-64209</v>
      </c>
      <c r="L678" s="7">
        <f t="shared" ref="L678" si="1254">IF(C678=0,"",C678-C626)</f>
        <v>-57563</v>
      </c>
      <c r="M678" s="8">
        <f t="shared" ref="M678" si="1255">IF(K678="","",B678/B626-1)</f>
        <v>-0.8266153430230313</v>
      </c>
      <c r="N678" s="8">
        <f t="shared" ref="N678" si="1256">IF(L678="","",C678/C626-1)</f>
        <v>-0.81294486498700713</v>
      </c>
      <c r="O678" s="7">
        <f>2672+0</f>
        <v>2672</v>
      </c>
      <c r="Q678" s="3"/>
      <c r="R678" s="3"/>
      <c r="S678" s="6"/>
      <c r="T678" s="7"/>
      <c r="U678" s="7"/>
      <c r="V678" s="7"/>
      <c r="W678" s="7"/>
      <c r="X678" s="7"/>
      <c r="Y678" s="7"/>
      <c r="Z678" s="7"/>
      <c r="AA678" s="7"/>
      <c r="AB678" s="7"/>
      <c r="AC678" s="7"/>
      <c r="AD678" s="7"/>
      <c r="AE678" s="8"/>
      <c r="AF678" s="8"/>
      <c r="AG678" s="7"/>
    </row>
    <row r="679" spans="1:33" ht="19.7" customHeight="1" x14ac:dyDescent="0.25">
      <c r="A679" s="6">
        <v>44590</v>
      </c>
      <c r="B679" s="7">
        <f t="shared" ref="B679" si="1257">IF(SUM(C679:J679)="","",SUM(C679:J679))</f>
        <v>13718</v>
      </c>
      <c r="C679" s="7">
        <f>13511+25</f>
        <v>13536</v>
      </c>
      <c r="D679" s="7">
        <v>157</v>
      </c>
      <c r="E679" s="7">
        <v>20</v>
      </c>
      <c r="F679" s="7">
        <v>0</v>
      </c>
      <c r="G679" s="7">
        <v>0</v>
      </c>
      <c r="H679" s="7">
        <v>0</v>
      </c>
      <c r="I679" s="7">
        <v>0</v>
      </c>
      <c r="J679" s="7">
        <v>5</v>
      </c>
      <c r="K679" s="7">
        <f t="shared" ref="K679" si="1258">IF(B679=0,"",B679-B627)</f>
        <v>-67929</v>
      </c>
      <c r="L679" s="7">
        <f t="shared" ref="L679" si="1259">IF(C679=0,"",C679-C627)</f>
        <v>-57909</v>
      </c>
      <c r="M679" s="8">
        <f t="shared" ref="M679" si="1260">IF(K679="","",B679/B627-1)</f>
        <v>-0.83198402880693711</v>
      </c>
      <c r="N679" s="8">
        <f t="shared" ref="N679" si="1261">IF(L679="","",C679/C627-1)</f>
        <v>-0.81053957589754355</v>
      </c>
      <c r="O679" s="7">
        <f>2761+4</f>
        <v>2765</v>
      </c>
      <c r="Q679" s="3"/>
      <c r="R679" s="3"/>
      <c r="S679" s="6"/>
      <c r="T679" s="7"/>
      <c r="U679" s="7"/>
      <c r="V679" s="7"/>
      <c r="W679" s="7"/>
      <c r="X679" s="7"/>
      <c r="Y679" s="7"/>
      <c r="Z679" s="7"/>
      <c r="AA679" s="7"/>
      <c r="AB679" s="7"/>
      <c r="AC679" s="7"/>
      <c r="AD679" s="7"/>
      <c r="AE679" s="8"/>
      <c r="AF679" s="8"/>
      <c r="AG679" s="7"/>
    </row>
    <row r="680" spans="1:33" ht="19.7" customHeight="1" x14ac:dyDescent="0.25">
      <c r="A680" s="6">
        <v>44597</v>
      </c>
      <c r="B680" s="7">
        <f t="shared" ref="B680" si="1262">IF(SUM(C680:J680)="","",SUM(C680:J680))</f>
        <v>13325</v>
      </c>
      <c r="C680" s="7">
        <f>13135+15</f>
        <v>13150</v>
      </c>
      <c r="D680" s="7">
        <v>156</v>
      </c>
      <c r="E680" s="7">
        <v>15</v>
      </c>
      <c r="F680" s="7">
        <v>0</v>
      </c>
      <c r="G680" s="7">
        <v>0</v>
      </c>
      <c r="H680" s="7">
        <v>0</v>
      </c>
      <c r="I680" s="7">
        <v>0</v>
      </c>
      <c r="J680" s="7">
        <v>4</v>
      </c>
      <c r="K680" s="7">
        <f t="shared" ref="K680" si="1263">IF(B680=0,"",B680-B628)</f>
        <v>-67512</v>
      </c>
      <c r="L680" s="7">
        <f t="shared" ref="L680" si="1264">IF(C680=0,"",C680-C628)</f>
        <v>-56734</v>
      </c>
      <c r="M680" s="8">
        <f t="shared" ref="M680" si="1265">IF(K680="","",B680/B628-1)</f>
        <v>-0.83516211635760851</v>
      </c>
      <c r="N680" s="8">
        <f t="shared" ref="N680" si="1266">IF(L680="","",C680/C628-1)</f>
        <v>-0.81183103428538717</v>
      </c>
      <c r="O680" s="7">
        <f>2884+5</f>
        <v>2889</v>
      </c>
      <c r="Q680" s="3"/>
      <c r="R680" s="3"/>
      <c r="S680" s="6"/>
      <c r="T680" s="7"/>
      <c r="U680" s="7"/>
      <c r="V680" s="7"/>
      <c r="W680" s="7"/>
      <c r="X680" s="7"/>
      <c r="Y680" s="7"/>
      <c r="Z680" s="7"/>
      <c r="AA680" s="7"/>
      <c r="AB680" s="7"/>
      <c r="AC680" s="7"/>
      <c r="AD680" s="7"/>
      <c r="AE680" s="8"/>
      <c r="AF680" s="8"/>
      <c r="AG680" s="7"/>
    </row>
    <row r="681" spans="1:33" ht="19.7" customHeight="1" x14ac:dyDescent="0.25">
      <c r="A681" s="6">
        <v>44604</v>
      </c>
      <c r="B681" s="7">
        <f t="shared" ref="B681" si="1267">IF(SUM(C681:J681)="","",SUM(C681:J681))</f>
        <v>12775</v>
      </c>
      <c r="C681" s="7">
        <f>12614+15</f>
        <v>12629</v>
      </c>
      <c r="D681" s="7">
        <v>133</v>
      </c>
      <c r="E681" s="7">
        <v>10</v>
      </c>
      <c r="F681" s="7">
        <v>0</v>
      </c>
      <c r="G681" s="7">
        <v>0</v>
      </c>
      <c r="H681" s="7">
        <v>0</v>
      </c>
      <c r="I681" s="7">
        <v>0</v>
      </c>
      <c r="J681" s="7">
        <v>3</v>
      </c>
      <c r="K681" s="7">
        <f t="shared" ref="K681" si="1268">IF(B681=0,"",B681-B629)</f>
        <v>-66501</v>
      </c>
      <c r="L681" s="7">
        <f t="shared" ref="L681" si="1269">IF(C681=0,"",C681-C629)</f>
        <v>-56358</v>
      </c>
      <c r="M681" s="8">
        <f t="shared" ref="M681" si="1270">IF(K681="","",B681/B629-1)</f>
        <v>-0.83885412987537211</v>
      </c>
      <c r="N681" s="8">
        <f t="shared" ref="N681" si="1271">IF(L681="","",C681/C629-1)</f>
        <v>-0.81693652427268904</v>
      </c>
      <c r="O681" s="7">
        <f>2495+3</f>
        <v>2498</v>
      </c>
      <c r="Q681" s="3"/>
      <c r="R681" s="3"/>
      <c r="S681" s="6"/>
      <c r="T681" s="7"/>
      <c r="U681" s="7"/>
      <c r="V681" s="7"/>
      <c r="W681" s="7"/>
      <c r="X681" s="7"/>
      <c r="Y681" s="7"/>
      <c r="Z681" s="7"/>
      <c r="AA681" s="7"/>
      <c r="AB681" s="7"/>
      <c r="AC681" s="7"/>
      <c r="AD681" s="7"/>
      <c r="AE681" s="8"/>
      <c r="AF681" s="8"/>
      <c r="AG681" s="7"/>
    </row>
    <row r="682" spans="1:33" ht="19.7" customHeight="1" x14ac:dyDescent="0.25">
      <c r="A682" s="6">
        <v>44611</v>
      </c>
      <c r="B682" s="7">
        <f t="shared" ref="B682" si="1272">IF(SUM(C682:J682)="","",SUM(C682:J682))</f>
        <v>13146</v>
      </c>
      <c r="C682" s="7">
        <f>12953+10</f>
        <v>12963</v>
      </c>
      <c r="D682" s="7">
        <v>166</v>
      </c>
      <c r="E682" s="7">
        <v>9</v>
      </c>
      <c r="F682" s="7">
        <v>0</v>
      </c>
      <c r="G682" s="7">
        <v>0</v>
      </c>
      <c r="H682" s="7">
        <v>0</v>
      </c>
      <c r="I682" s="7">
        <v>0</v>
      </c>
      <c r="J682" s="7">
        <v>8</v>
      </c>
      <c r="K682" s="7">
        <f t="shared" ref="K682" si="1273">IF(B682=0,"",B682-B630)</f>
        <v>-61130</v>
      </c>
      <c r="L682" s="7">
        <f t="shared" ref="L682" si="1274">IF(C682=0,"",C682-C630)</f>
        <v>-51851</v>
      </c>
      <c r="M682" s="8">
        <f t="shared" ref="M682" si="1275">IF(K682="","",B682/B630-1)</f>
        <v>-0.82301147073078784</v>
      </c>
      <c r="N682" s="8">
        <f t="shared" ref="N682" si="1276">IF(L682="","",C682/C630-1)</f>
        <v>-0.79999691424692199</v>
      </c>
      <c r="O682" s="7">
        <f>2520+1</f>
        <v>2521</v>
      </c>
      <c r="Q682" s="3"/>
      <c r="R682" s="3"/>
      <c r="S682" s="6"/>
      <c r="T682" s="7"/>
      <c r="U682" s="7"/>
      <c r="V682" s="7"/>
      <c r="W682" s="7"/>
      <c r="X682" s="7"/>
      <c r="Y682" s="7"/>
      <c r="Z682" s="7"/>
      <c r="AA682" s="7"/>
      <c r="AB682" s="7"/>
      <c r="AC682" s="7"/>
      <c r="AD682" s="7"/>
      <c r="AE682" s="8"/>
      <c r="AF682" s="8"/>
      <c r="AG682" s="7"/>
    </row>
    <row r="683" spans="1:33" ht="19.7" customHeight="1" x14ac:dyDescent="0.25">
      <c r="A683" s="6">
        <v>44618</v>
      </c>
      <c r="B683" s="7">
        <f t="shared" ref="B683" si="1277">IF(SUM(C683:J683)="","",SUM(C683:J683))</f>
        <v>13458</v>
      </c>
      <c r="C683" s="7">
        <f>13269+19</f>
        <v>13288</v>
      </c>
      <c r="D683" s="7">
        <v>157</v>
      </c>
      <c r="E683" s="7">
        <v>7</v>
      </c>
      <c r="F683" s="7">
        <v>0</v>
      </c>
      <c r="G683" s="7">
        <v>0</v>
      </c>
      <c r="H683" s="7">
        <v>0</v>
      </c>
      <c r="I683" s="7">
        <v>0</v>
      </c>
      <c r="J683" s="7">
        <v>6</v>
      </c>
      <c r="K683" s="7">
        <f t="shared" ref="K683" si="1278">IF(B683=0,"",B683-B631)</f>
        <v>-58260</v>
      </c>
      <c r="L683" s="7">
        <f t="shared" ref="L683" si="1279">IF(C683=0,"",C683-C631)</f>
        <v>-49676</v>
      </c>
      <c r="M683" s="8">
        <f t="shared" ref="M683" si="1280">IF(K683="","",B683/B631-1)</f>
        <v>-0.81234836442734037</v>
      </c>
      <c r="N683" s="8">
        <f t="shared" ref="N683" si="1281">IF(L683="","",C683/C631-1)</f>
        <v>-0.78895877009084558</v>
      </c>
      <c r="O683" s="7">
        <f>2211+3</f>
        <v>2214</v>
      </c>
      <c r="Q683" s="3"/>
      <c r="R683" s="3"/>
      <c r="S683" s="6"/>
      <c r="T683" s="7"/>
      <c r="U683" s="7"/>
      <c r="V683" s="7"/>
      <c r="W683" s="7"/>
      <c r="X683" s="7"/>
      <c r="Y683" s="7"/>
      <c r="Z683" s="7"/>
      <c r="AA683" s="7"/>
      <c r="AB683" s="7"/>
      <c r="AC683" s="7"/>
      <c r="AD683" s="7"/>
      <c r="AE683" s="8"/>
      <c r="AF683" s="8"/>
      <c r="AG683" s="7"/>
    </row>
    <row r="684" spans="1:33" ht="19.7" customHeight="1" x14ac:dyDescent="0.25">
      <c r="A684" s="6">
        <v>44625</v>
      </c>
      <c r="B684" s="7">
        <f t="shared" ref="B684" si="1282">IF(SUM(C684:J684)="","",SUM(C684:J684))</f>
        <v>13396</v>
      </c>
      <c r="C684" s="7">
        <f>13179+20</f>
        <v>13199</v>
      </c>
      <c r="D684" s="7">
        <v>184</v>
      </c>
      <c r="E684" s="7">
        <v>11</v>
      </c>
      <c r="F684" s="7">
        <v>0</v>
      </c>
      <c r="G684" s="7">
        <v>0</v>
      </c>
      <c r="H684" s="7">
        <v>0</v>
      </c>
      <c r="I684" s="7">
        <v>0</v>
      </c>
      <c r="J684" s="7">
        <v>2</v>
      </c>
      <c r="K684" s="7">
        <f t="shared" ref="K684" si="1283">IF(B684=0,"",B684-B632)</f>
        <v>-54785</v>
      </c>
      <c r="L684" s="7">
        <f t="shared" ref="L684" si="1284">IF(C684=0,"",C684-C632)</f>
        <v>-47073</v>
      </c>
      <c r="M684" s="8">
        <f t="shared" ref="M684" si="1285">IF(K684="","",B684/B632-1)</f>
        <v>-0.80352297560904062</v>
      </c>
      <c r="N684" s="8">
        <f t="shared" ref="N684" si="1286">IF(L684="","",C684/C632-1)</f>
        <v>-0.78100942394478368</v>
      </c>
      <c r="O684" s="7">
        <f>2506+2</f>
        <v>2508</v>
      </c>
      <c r="Q684" s="3"/>
      <c r="R684" s="3"/>
      <c r="S684" s="6"/>
      <c r="T684" s="7"/>
      <c r="U684" s="7"/>
      <c r="V684" s="7"/>
      <c r="W684" s="7"/>
      <c r="X684" s="7"/>
      <c r="Y684" s="7"/>
      <c r="Z684" s="7"/>
      <c r="AA684" s="7"/>
      <c r="AB684" s="7"/>
      <c r="AC684" s="7"/>
      <c r="AD684" s="7"/>
      <c r="AE684" s="8"/>
      <c r="AF684" s="8"/>
      <c r="AG684" s="7"/>
    </row>
    <row r="685" spans="1:33" ht="19.7" customHeight="1" x14ac:dyDescent="0.25">
      <c r="A685" s="6">
        <v>44632</v>
      </c>
      <c r="B685" s="7">
        <f t="shared" ref="B685" si="1287">IF(SUM(C685:J685)="","",SUM(C685:J685))</f>
        <v>13162</v>
      </c>
      <c r="C685" s="7">
        <f>12988+13</f>
        <v>13001</v>
      </c>
      <c r="D685" s="7">
        <v>149</v>
      </c>
      <c r="E685" s="7">
        <v>9</v>
      </c>
      <c r="F685" s="7">
        <v>0</v>
      </c>
      <c r="G685" s="7">
        <v>0</v>
      </c>
      <c r="H685" s="7">
        <v>0</v>
      </c>
      <c r="I685" s="7">
        <v>0</v>
      </c>
      <c r="J685" s="7">
        <v>3</v>
      </c>
      <c r="K685" s="7">
        <f t="shared" ref="K685" si="1288">IF(B685=0,"",B685-B633)</f>
        <v>-39309</v>
      </c>
      <c r="L685" s="7">
        <f t="shared" ref="L685" si="1289">IF(C685=0,"",C685-C633)</f>
        <v>-33403</v>
      </c>
      <c r="M685" s="8">
        <f t="shared" ref="M685" si="1290">IF(K685="","",B685/B633-1)</f>
        <v>-0.74915667702159294</v>
      </c>
      <c r="N685" s="8">
        <f t="shared" ref="N685" si="1291">IF(L685="","",C685/C633-1)</f>
        <v>-0.7198301870528403</v>
      </c>
      <c r="O685" s="7">
        <f>2568+0</f>
        <v>2568</v>
      </c>
      <c r="Q685" s="3"/>
      <c r="R685" s="3"/>
      <c r="S685" s="6"/>
      <c r="T685" s="7"/>
      <c r="U685" s="7"/>
      <c r="V685" s="7"/>
      <c r="W685" s="7"/>
      <c r="X685" s="7"/>
      <c r="Y685" s="7"/>
      <c r="Z685" s="7"/>
      <c r="AA685" s="7"/>
      <c r="AB685" s="7"/>
      <c r="AC685" s="7"/>
      <c r="AD685" s="7"/>
      <c r="AE685" s="8"/>
      <c r="AF685" s="8"/>
      <c r="AG685" s="7"/>
    </row>
    <row r="686" spans="1:33" ht="19.7" customHeight="1" x14ac:dyDescent="0.25">
      <c r="A686" s="6">
        <v>44639</v>
      </c>
      <c r="B686" s="7">
        <f t="shared" ref="B686" si="1292">IF(SUM(C686:J686)="","",SUM(C686:J686))</f>
        <v>13364</v>
      </c>
      <c r="C686" s="7">
        <f>13196+14</f>
        <v>13210</v>
      </c>
      <c r="D686" s="7">
        <v>123</v>
      </c>
      <c r="E686" s="7">
        <v>26</v>
      </c>
      <c r="F686" s="7">
        <v>0</v>
      </c>
      <c r="G686" s="7">
        <v>0</v>
      </c>
      <c r="H686" s="7">
        <v>0</v>
      </c>
      <c r="I686" s="7">
        <v>0</v>
      </c>
      <c r="J686" s="7">
        <v>5</v>
      </c>
      <c r="K686" s="7">
        <f t="shared" ref="K686" si="1293">IF(B686=0,"",B686-B634)</f>
        <v>-39672</v>
      </c>
      <c r="L686" s="7">
        <f t="shared" ref="L686" si="1294">IF(C686=0,"",C686-C634)</f>
        <v>-34941</v>
      </c>
      <c r="M686" s="8">
        <f t="shared" ref="M686" si="1295">IF(K686="","",B686/B634-1)</f>
        <v>-0.74802021268572294</v>
      </c>
      <c r="N686" s="8">
        <f t="shared" ref="N686" si="1296">IF(L686="","",C686/C634-1)</f>
        <v>-0.72565471122095082</v>
      </c>
      <c r="O686" s="7">
        <f>2356+2</f>
        <v>2358</v>
      </c>
      <c r="Q686" s="3"/>
      <c r="R686" s="3"/>
      <c r="S686" s="6"/>
      <c r="T686" s="7"/>
      <c r="U686" s="7"/>
      <c r="V686" s="7"/>
      <c r="W686" s="7"/>
      <c r="X686" s="7"/>
      <c r="Y686" s="7"/>
      <c r="Z686" s="7"/>
      <c r="AA686" s="7"/>
      <c r="AB686" s="7"/>
      <c r="AC686" s="7"/>
      <c r="AD686" s="7"/>
      <c r="AE686" s="8"/>
      <c r="AF686" s="8"/>
      <c r="AG686" s="7"/>
    </row>
    <row r="687" spans="1:33" ht="19.7" customHeight="1" x14ac:dyDescent="0.25">
      <c r="A687" s="6">
        <v>44646</v>
      </c>
      <c r="B687" s="7">
        <f t="shared" ref="B687" si="1297">IF(SUM(C687:J687)="","",SUM(C687:J687))</f>
        <v>13060</v>
      </c>
      <c r="C687" s="7">
        <f>12904+5</f>
        <v>12909</v>
      </c>
      <c r="D687" s="7">
        <v>136</v>
      </c>
      <c r="E687" s="7">
        <v>12</v>
      </c>
      <c r="F687" s="7">
        <v>0</v>
      </c>
      <c r="G687" s="7">
        <v>0</v>
      </c>
      <c r="H687" s="7">
        <v>0</v>
      </c>
      <c r="I687" s="7">
        <v>0</v>
      </c>
      <c r="J687" s="7">
        <v>3</v>
      </c>
      <c r="K687" s="7">
        <f t="shared" ref="K687" si="1298">IF(B687=0,"",B687-B635)</f>
        <v>-37841</v>
      </c>
      <c r="L687" s="7">
        <f t="shared" ref="L687" si="1299">IF(C687=0,"",C687-C635)</f>
        <v>-34766</v>
      </c>
      <c r="M687" s="8">
        <f t="shared" ref="M687" si="1300">IF(K687="","",B687/B635-1)</f>
        <v>-0.74342350837901017</v>
      </c>
      <c r="N687" s="8">
        <f t="shared" ref="N687" si="1301">IF(L687="","",C687/C635-1)</f>
        <v>-0.7292291557420032</v>
      </c>
      <c r="O687" s="7">
        <f>2671+0</f>
        <v>2671</v>
      </c>
      <c r="Q687" s="3"/>
      <c r="R687" s="3"/>
      <c r="S687" s="6"/>
      <c r="T687" s="7"/>
      <c r="U687" s="7"/>
      <c r="V687" s="7"/>
      <c r="W687" s="7"/>
      <c r="X687" s="7"/>
      <c r="Y687" s="7"/>
      <c r="Z687" s="7"/>
      <c r="AA687" s="7"/>
      <c r="AB687" s="7"/>
      <c r="AC687" s="7"/>
      <c r="AD687" s="7"/>
      <c r="AE687" s="8"/>
      <c r="AF687" s="8"/>
      <c r="AG687" s="7"/>
    </row>
    <row r="688" spans="1:33" ht="19.7" customHeight="1" x14ac:dyDescent="0.25">
      <c r="A688" s="6">
        <v>44653</v>
      </c>
      <c r="B688" s="7">
        <f t="shared" ref="B688" si="1302">IF(SUM(C688:J688)="","",SUM(C688:J688))</f>
        <v>13788</v>
      </c>
      <c r="C688" s="7">
        <f>13616+7</f>
        <v>13623</v>
      </c>
      <c r="D688" s="7">
        <v>149</v>
      </c>
      <c r="E688" s="7">
        <v>11</v>
      </c>
      <c r="F688" s="7">
        <v>0</v>
      </c>
      <c r="G688" s="7">
        <v>0</v>
      </c>
      <c r="H688" s="7">
        <v>0</v>
      </c>
      <c r="I688" s="7">
        <v>0</v>
      </c>
      <c r="J688" s="7">
        <v>5</v>
      </c>
      <c r="K688" s="7">
        <f t="shared" ref="K688" si="1303">IF(B688=0,"",B688-B636)</f>
        <v>-37455</v>
      </c>
      <c r="L688" s="7">
        <f t="shared" ref="L688" si="1304">IF(C688=0,"",C688-C636)</f>
        <v>-36187</v>
      </c>
      <c r="M688" s="8">
        <f t="shared" ref="M688" si="1305">IF(K688="","",B688/B636-1)</f>
        <v>-0.73092910251156251</v>
      </c>
      <c r="N688" s="8">
        <f t="shared" ref="N688" si="1306">IF(L688="","",C688/C636-1)</f>
        <v>-0.72650070267014655</v>
      </c>
      <c r="O688" s="7">
        <f>2785+1</f>
        <v>2786</v>
      </c>
      <c r="Q688" s="3"/>
      <c r="R688" s="3"/>
      <c r="S688" s="6"/>
      <c r="T688" s="7"/>
      <c r="U688" s="7"/>
      <c r="V688" s="7"/>
      <c r="W688" s="7"/>
      <c r="X688" s="7"/>
      <c r="Y688" s="7"/>
      <c r="Z688" s="7"/>
      <c r="AA688" s="7"/>
      <c r="AB688" s="7"/>
      <c r="AC688" s="7"/>
      <c r="AD688" s="7"/>
      <c r="AE688" s="8"/>
      <c r="AF688" s="8"/>
      <c r="AG688" s="7"/>
    </row>
    <row r="689" spans="1:33" ht="19.7" customHeight="1" x14ac:dyDescent="0.25">
      <c r="A689" s="6">
        <v>44660</v>
      </c>
      <c r="B689" s="7">
        <f t="shared" ref="B689" si="1307">IF(SUM(C689:J689)="","",SUM(C689:J689))</f>
        <v>13437</v>
      </c>
      <c r="C689" s="7">
        <f>13300+13</f>
        <v>13313</v>
      </c>
      <c r="D689" s="7">
        <v>107</v>
      </c>
      <c r="E689" s="7">
        <v>14</v>
      </c>
      <c r="F689" s="7">
        <v>0</v>
      </c>
      <c r="G689" s="7">
        <v>0</v>
      </c>
      <c r="H689" s="7">
        <v>0</v>
      </c>
      <c r="I689" s="7">
        <v>0</v>
      </c>
      <c r="J689" s="7">
        <v>3</v>
      </c>
      <c r="K689" s="7">
        <f t="shared" ref="K689" si="1308">IF(B689=0,"",B689-B637)</f>
        <v>-37566</v>
      </c>
      <c r="L689" s="7">
        <f t="shared" ref="L689" si="1309">IF(C689=0,"",C689-C637)</f>
        <v>-36540</v>
      </c>
      <c r="M689" s="8">
        <f t="shared" ref="M689" si="1310">IF(K689="","",B689/B637-1)</f>
        <v>-0.73654490912299275</v>
      </c>
      <c r="N689" s="8">
        <f t="shared" ref="N689" si="1311">IF(L689="","",C689/C637-1)</f>
        <v>-0.73295488736886449</v>
      </c>
      <c r="O689" s="7">
        <f>4189+4</f>
        <v>4193</v>
      </c>
      <c r="Q689" s="3"/>
      <c r="R689" s="3"/>
      <c r="S689" s="6"/>
      <c r="T689" s="7"/>
      <c r="U689" s="7"/>
      <c r="V689" s="7"/>
      <c r="W689" s="7"/>
      <c r="X689" s="7"/>
      <c r="Y689" s="7"/>
      <c r="Z689" s="7"/>
      <c r="AA689" s="7"/>
      <c r="AB689" s="7"/>
      <c r="AC689" s="7"/>
      <c r="AD689" s="7"/>
      <c r="AE689" s="8"/>
      <c r="AF689" s="8"/>
      <c r="AG689" s="7"/>
    </row>
    <row r="690" spans="1:33" ht="19.7" customHeight="1" x14ac:dyDescent="0.25">
      <c r="A690" s="6">
        <v>44667</v>
      </c>
      <c r="B690" s="7">
        <f t="shared" ref="B690" si="1312">IF(SUM(C690:J690)="","",SUM(C690:J690))</f>
        <v>14272</v>
      </c>
      <c r="C690" s="7">
        <f>14134+11</f>
        <v>14145</v>
      </c>
      <c r="D690" s="7">
        <v>93</v>
      </c>
      <c r="E690" s="7">
        <v>29</v>
      </c>
      <c r="F690" s="7">
        <v>0</v>
      </c>
      <c r="G690" s="7">
        <v>0</v>
      </c>
      <c r="H690" s="7">
        <v>0</v>
      </c>
      <c r="I690" s="7">
        <v>0</v>
      </c>
      <c r="J690" s="7">
        <v>5</v>
      </c>
      <c r="K690" s="7">
        <f t="shared" ref="K690" si="1313">IF(B690=0,"",B690-B638)</f>
        <v>-38091</v>
      </c>
      <c r="L690" s="7">
        <f t="shared" ref="L690" si="1314">IF(C690=0,"",C690-C638)</f>
        <v>-37231</v>
      </c>
      <c r="M690" s="8">
        <f t="shared" ref="M690" si="1315">IF(K690="","",B690/B638-1)</f>
        <v>-0.72744113209709149</v>
      </c>
      <c r="N690" s="8">
        <f t="shared" ref="N690" si="1316">IF(L690="","",C690/C638-1)</f>
        <v>-0.724676891933977</v>
      </c>
      <c r="O690" s="7">
        <f>3878+10</f>
        <v>3888</v>
      </c>
      <c r="Q690" s="3"/>
      <c r="R690" s="3"/>
      <c r="S690" s="6"/>
      <c r="T690" s="7"/>
      <c r="U690" s="7"/>
      <c r="V690" s="7"/>
      <c r="W690" s="7"/>
      <c r="X690" s="7"/>
      <c r="Y690" s="7"/>
      <c r="Z690" s="7"/>
      <c r="AA690" s="7"/>
      <c r="AB690" s="7"/>
      <c r="AC690" s="7"/>
      <c r="AD690" s="7"/>
      <c r="AE690" s="8"/>
      <c r="AF690" s="8"/>
      <c r="AG690" s="7"/>
    </row>
    <row r="691" spans="1:33" ht="19.7" customHeight="1" x14ac:dyDescent="0.25">
      <c r="A691" s="6">
        <v>44674</v>
      </c>
      <c r="B691" s="7">
        <f t="shared" ref="B691" si="1317">IF(SUM(C691:J691)="","",SUM(C691:J691))</f>
        <v>15521</v>
      </c>
      <c r="C691" s="7">
        <f>15390+41</f>
        <v>15431</v>
      </c>
      <c r="D691" s="7">
        <v>72</v>
      </c>
      <c r="E691" s="7">
        <v>16</v>
      </c>
      <c r="F691" s="7">
        <v>0</v>
      </c>
      <c r="G691" s="7">
        <v>0</v>
      </c>
      <c r="H691" s="7">
        <v>0</v>
      </c>
      <c r="I691" s="7">
        <v>0</v>
      </c>
      <c r="J691" s="7">
        <v>2</v>
      </c>
      <c r="K691" s="7">
        <f t="shared" ref="K691" si="1318">IF(B691=0,"",B691-B639)</f>
        <v>-37076</v>
      </c>
      <c r="L691" s="7">
        <f t="shared" ref="L691" si="1319">IF(C691=0,"",C691-C639)</f>
        <v>-36406</v>
      </c>
      <c r="M691" s="8">
        <f t="shared" ref="M691" si="1320">IF(K691="","",B691/B639-1)</f>
        <v>-0.70490712398045519</v>
      </c>
      <c r="N691" s="8">
        <f t="shared" ref="N691" si="1321">IF(L691="","",C691/C639-1)</f>
        <v>-0.70231687790574293</v>
      </c>
      <c r="O691" s="7">
        <f>3728+0</f>
        <v>3728</v>
      </c>
      <c r="Q691" s="3"/>
      <c r="R691" s="3"/>
      <c r="S691" s="6"/>
      <c r="T691" s="7"/>
      <c r="U691" s="7"/>
      <c r="V691" s="7"/>
      <c r="W691" s="7"/>
      <c r="X691" s="7"/>
      <c r="Y691" s="7"/>
      <c r="Z691" s="7"/>
      <c r="AA691" s="7"/>
      <c r="AB691" s="7"/>
      <c r="AC691" s="7"/>
      <c r="AD691" s="7"/>
      <c r="AE691" s="8"/>
      <c r="AF691" s="8"/>
      <c r="AG691" s="7"/>
    </row>
    <row r="692" spans="1:33" ht="19.7" customHeight="1" x14ac:dyDescent="0.25">
      <c r="A692" s="6">
        <v>44681</v>
      </c>
      <c r="B692" s="7">
        <f t="shared" ref="B692" si="1322">IF(SUM(C692:J692)="","",SUM(C692:J692))</f>
        <v>16169</v>
      </c>
      <c r="C692" s="7">
        <f>16074+3</f>
        <v>16077</v>
      </c>
      <c r="D692" s="7">
        <v>75</v>
      </c>
      <c r="E692" s="7">
        <v>14</v>
      </c>
      <c r="F692" s="7">
        <v>0</v>
      </c>
      <c r="G692" s="7">
        <v>0</v>
      </c>
      <c r="H692" s="7">
        <v>0</v>
      </c>
      <c r="I692" s="7">
        <v>0</v>
      </c>
      <c r="J692" s="7">
        <v>3</v>
      </c>
      <c r="K692" s="7">
        <f t="shared" ref="K692" si="1323">IF(B692=0,"",B692-B640)</f>
        <v>-38974</v>
      </c>
      <c r="L692" s="7">
        <f t="shared" ref="L692" si="1324">IF(C692=0,"",C692-C640)</f>
        <v>-38564</v>
      </c>
      <c r="M692" s="8">
        <f t="shared" ref="M692" si="1325">IF(K692="","",B692/B640-1)</f>
        <v>-0.70678055238198867</v>
      </c>
      <c r="N692" s="8">
        <f t="shared" ref="N692" si="1326">IF(L692="","",C692/C640-1)</f>
        <v>-0.70577039219633608</v>
      </c>
      <c r="O692" s="7">
        <f>3493+1</f>
        <v>3494</v>
      </c>
      <c r="Q692" s="3"/>
      <c r="R692" s="3"/>
      <c r="S692" s="6"/>
      <c r="T692" s="7"/>
      <c r="U692" s="7"/>
      <c r="V692" s="7"/>
      <c r="W692" s="7"/>
      <c r="X692" s="7"/>
      <c r="Y692" s="7"/>
      <c r="Z692" s="7"/>
      <c r="AA692" s="7"/>
      <c r="AB692" s="7"/>
      <c r="AC692" s="7"/>
      <c r="AD692" s="7"/>
      <c r="AE692" s="8"/>
      <c r="AF692" s="8"/>
      <c r="AG692" s="7"/>
    </row>
    <row r="693" spans="1:33" ht="19.7" customHeight="1" x14ac:dyDescent="0.25">
      <c r="A693" s="6">
        <v>44688</v>
      </c>
      <c r="B693" s="7">
        <f t="shared" ref="B693" si="1327">IF(SUM(C693:J693)="","",SUM(C693:J693))</f>
        <v>17167</v>
      </c>
      <c r="C693" s="7">
        <f>17037+43</f>
        <v>17080</v>
      </c>
      <c r="D693" s="7">
        <v>57</v>
      </c>
      <c r="E693" s="7">
        <v>23</v>
      </c>
      <c r="F693" s="7">
        <v>0</v>
      </c>
      <c r="G693" s="7">
        <v>0</v>
      </c>
      <c r="H693" s="7">
        <v>0</v>
      </c>
      <c r="I693" s="7">
        <v>0</v>
      </c>
      <c r="J693" s="7">
        <v>7</v>
      </c>
      <c r="K693" s="7">
        <f t="shared" ref="K693" si="1328">IF(B693=0,"",B693-B641)</f>
        <v>-38316</v>
      </c>
      <c r="L693" s="7">
        <f t="shared" ref="L693" si="1329">IF(C693=0,"",C693-C641)</f>
        <v>-38077</v>
      </c>
      <c r="M693" s="8">
        <f t="shared" ref="M693" si="1330">IF(K693="","",B693/B641-1)</f>
        <v>-0.69058991042301243</v>
      </c>
      <c r="N693" s="8">
        <f t="shared" ref="N693" si="1331">IF(L693="","",C693/C641-1)</f>
        <v>-0.69033848831517308</v>
      </c>
      <c r="O693" s="7">
        <f>3379+12</f>
        <v>3391</v>
      </c>
      <c r="Q693" s="3"/>
      <c r="R693" s="3"/>
      <c r="S693" s="6"/>
      <c r="T693" s="7"/>
      <c r="U693" s="7"/>
      <c r="V693" s="7"/>
      <c r="W693" s="7"/>
      <c r="X693" s="7"/>
      <c r="Y693" s="7"/>
      <c r="Z693" s="7"/>
      <c r="AA693" s="7"/>
      <c r="AB693" s="7"/>
      <c r="AC693" s="7"/>
      <c r="AD693" s="7"/>
      <c r="AE693" s="8"/>
      <c r="AF693" s="8"/>
      <c r="AG693" s="7"/>
    </row>
    <row r="694" spans="1:33" ht="19.7" customHeight="1" x14ac:dyDescent="0.25">
      <c r="A694" s="6">
        <v>44695</v>
      </c>
      <c r="B694" s="7">
        <f t="shared" ref="B694" si="1332">IF(SUM(C694:J694)="","",SUM(C694:J694))</f>
        <v>17759</v>
      </c>
      <c r="C694" s="7">
        <f>17685+10</f>
        <v>17695</v>
      </c>
      <c r="D694" s="7">
        <v>48</v>
      </c>
      <c r="E694" s="7">
        <v>15</v>
      </c>
      <c r="F694" s="7">
        <v>0</v>
      </c>
      <c r="G694" s="7">
        <v>0</v>
      </c>
      <c r="H694" s="7">
        <v>0</v>
      </c>
      <c r="I694" s="7">
        <v>0</v>
      </c>
      <c r="J694" s="7">
        <v>1</v>
      </c>
      <c r="K694" s="7">
        <f t="shared" ref="K694" si="1333">IF(B694=0,"",B694-B642)</f>
        <v>-38541</v>
      </c>
      <c r="L694" s="7">
        <f t="shared" ref="L694" si="1334">IF(C694=0,"",C694-C642)</f>
        <v>-38227</v>
      </c>
      <c r="M694" s="8">
        <f t="shared" ref="M694" si="1335">IF(K694="","",B694/B642-1)</f>
        <v>-0.68456483126110124</v>
      </c>
      <c r="N694" s="8">
        <f t="shared" ref="N694" si="1336">IF(L694="","",C694/C642-1)</f>
        <v>-0.68357712528164227</v>
      </c>
      <c r="O694" s="7">
        <f>3112+1</f>
        <v>3113</v>
      </c>
      <c r="Q694" s="3"/>
      <c r="R694" s="3"/>
      <c r="S694" s="6"/>
      <c r="T694" s="7"/>
      <c r="U694" s="7"/>
      <c r="V694" s="7"/>
      <c r="W694" s="7"/>
      <c r="X694" s="7"/>
      <c r="Y694" s="7"/>
      <c r="Z694" s="7"/>
      <c r="AA694" s="7"/>
      <c r="AB694" s="7"/>
      <c r="AC694" s="7"/>
      <c r="AD694" s="7"/>
      <c r="AE694" s="8"/>
      <c r="AF694" s="8"/>
      <c r="AG694" s="7"/>
    </row>
    <row r="695" spans="1:33" ht="19.7" customHeight="1" x14ac:dyDescent="0.25">
      <c r="A695" s="6">
        <v>44702</v>
      </c>
      <c r="B695" s="7">
        <f t="shared" ref="B695" si="1337">IF(SUM(C695:J695)="","",SUM(C695:J695))</f>
        <v>18344</v>
      </c>
      <c r="C695" s="7">
        <f>18218+48</f>
        <v>18266</v>
      </c>
      <c r="D695" s="7">
        <v>51</v>
      </c>
      <c r="E695" s="7">
        <v>23</v>
      </c>
      <c r="F695" s="7">
        <v>0</v>
      </c>
      <c r="G695" s="7">
        <v>0</v>
      </c>
      <c r="H695" s="7">
        <v>0</v>
      </c>
      <c r="I695" s="7">
        <v>0</v>
      </c>
      <c r="J695" s="7">
        <v>4</v>
      </c>
      <c r="K695" s="7">
        <f t="shared" ref="K695" si="1338">IF(B695=0,"",B695-B643)</f>
        <v>-36584</v>
      </c>
      <c r="L695" s="7">
        <f t="shared" ref="L695" si="1339">IF(C695=0,"",C695-C643)</f>
        <v>-36290</v>
      </c>
      <c r="M695" s="8">
        <f t="shared" ref="M695" si="1340">IF(K695="","",B695/B643-1)</f>
        <v>-0.66603553743081845</v>
      </c>
      <c r="N695" s="8">
        <f t="shared" ref="N695" si="1341">IF(L695="","",C695/C643-1)</f>
        <v>-0.66518806364102945</v>
      </c>
      <c r="O695" s="7">
        <f>3200+1</f>
        <v>3201</v>
      </c>
      <c r="Q695" s="3"/>
      <c r="R695" s="3"/>
      <c r="S695" s="6"/>
      <c r="T695" s="7"/>
      <c r="U695" s="7"/>
      <c r="V695" s="7"/>
      <c r="W695" s="7"/>
      <c r="X695" s="7"/>
      <c r="Y695" s="7"/>
      <c r="Z695" s="7"/>
      <c r="AA695" s="7"/>
      <c r="AB695" s="7"/>
      <c r="AC695" s="7"/>
      <c r="AD695" s="7"/>
      <c r="AE695" s="8"/>
      <c r="AF695" s="8"/>
      <c r="AG695" s="7"/>
    </row>
    <row r="696" spans="1:33" ht="19.7" customHeight="1" x14ac:dyDescent="0.25">
      <c r="A696" s="6">
        <v>44709</v>
      </c>
      <c r="B696" s="7">
        <f t="shared" ref="B696" si="1342">IF(SUM(C696:J696)="","",SUM(C696:J696))</f>
        <v>18843</v>
      </c>
      <c r="C696" s="7">
        <f>18759+11</f>
        <v>18770</v>
      </c>
      <c r="D696" s="7">
        <v>54</v>
      </c>
      <c r="E696" s="7">
        <v>17</v>
      </c>
      <c r="F696" s="7">
        <v>0</v>
      </c>
      <c r="G696" s="7">
        <v>0</v>
      </c>
      <c r="H696" s="7">
        <v>0</v>
      </c>
      <c r="I696" s="7">
        <v>0</v>
      </c>
      <c r="J696" s="7">
        <v>2</v>
      </c>
      <c r="K696" s="7">
        <f t="shared" ref="K696" si="1343">IF(B696=0,"",B696-B644)</f>
        <v>-36236</v>
      </c>
      <c r="L696" s="7">
        <f t="shared" ref="L696" si="1344">IF(C696=0,"",C696-C644)</f>
        <v>-35974</v>
      </c>
      <c r="M696" s="8">
        <f t="shared" ref="M696" si="1345">IF(K696="","",B696/B644-1)</f>
        <v>-0.65789139236369576</v>
      </c>
      <c r="N696" s="8">
        <f t="shared" ref="N696" si="1346">IF(L696="","",C696/C644-1)</f>
        <v>-0.6571313751278679</v>
      </c>
      <c r="O696" s="7">
        <f>3265+1</f>
        <v>3266</v>
      </c>
      <c r="Q696" s="3"/>
      <c r="R696" s="3"/>
      <c r="S696" s="6"/>
      <c r="T696" s="7"/>
      <c r="U696" s="7"/>
      <c r="V696" s="7"/>
      <c r="W696" s="7"/>
      <c r="X696" s="7"/>
      <c r="Y696" s="7"/>
      <c r="Z696" s="7"/>
      <c r="AA696" s="7"/>
      <c r="AB696" s="7"/>
      <c r="AC696" s="7"/>
      <c r="AD696" s="7"/>
      <c r="AE696" s="8"/>
      <c r="AF696" s="8"/>
      <c r="AG696" s="7"/>
    </row>
    <row r="697" spans="1:33" ht="19.7" customHeight="1" x14ac:dyDescent="0.25">
      <c r="A697" s="6">
        <v>44716</v>
      </c>
      <c r="B697" s="7">
        <f t="shared" ref="B697" si="1347">IF(SUM(C697:J697)="","",SUM(C697:J697))</f>
        <v>19662</v>
      </c>
      <c r="C697" s="7">
        <f>19535+27</f>
        <v>19562</v>
      </c>
      <c r="D697" s="7">
        <v>83</v>
      </c>
      <c r="E697" s="7">
        <v>16</v>
      </c>
      <c r="F697" s="7">
        <v>0</v>
      </c>
      <c r="G697" s="7">
        <v>0</v>
      </c>
      <c r="H697" s="7">
        <v>0</v>
      </c>
      <c r="I697" s="7">
        <v>0</v>
      </c>
      <c r="J697" s="7">
        <v>1</v>
      </c>
      <c r="K697" s="7">
        <f t="shared" ref="K697" si="1348">IF(B697=0,"",B697-B645)</f>
        <v>-27119</v>
      </c>
      <c r="L697" s="7">
        <f t="shared" ref="L697" si="1349">IF(C697=0,"",C697-C645)</f>
        <v>-26976</v>
      </c>
      <c r="M697" s="8">
        <f t="shared" ref="M697" si="1350">IF(K697="","",B697/B645-1)</f>
        <v>-0.57970116072764588</v>
      </c>
      <c r="N697" s="8">
        <f t="shared" ref="N697" si="1351">IF(L697="","",C697/C645-1)</f>
        <v>-0.57965533542481418</v>
      </c>
      <c r="O697" s="7">
        <f>3396+0</f>
        <v>3396</v>
      </c>
      <c r="Q697" s="3"/>
      <c r="R697" s="3"/>
      <c r="S697" s="6"/>
      <c r="T697" s="7"/>
      <c r="U697" s="7"/>
      <c r="V697" s="7"/>
      <c r="W697" s="7"/>
      <c r="X697" s="7"/>
      <c r="Y697" s="7"/>
      <c r="Z697" s="7"/>
      <c r="AA697" s="7"/>
      <c r="AB697" s="7"/>
      <c r="AC697" s="7"/>
      <c r="AD697" s="7"/>
      <c r="AE697" s="8"/>
      <c r="AF697" s="8"/>
      <c r="AG697" s="7"/>
    </row>
    <row r="698" spans="1:33" ht="19.7" customHeight="1" x14ac:dyDescent="0.25">
      <c r="A698" s="6">
        <v>44723</v>
      </c>
      <c r="B698" s="7">
        <f t="shared" ref="B698" si="1352">IF(SUM(C698:J698)="","",SUM(C698:J698))</f>
        <v>20060</v>
      </c>
      <c r="C698" s="7">
        <f>19953+14</f>
        <v>19967</v>
      </c>
      <c r="D698" s="7">
        <v>75</v>
      </c>
      <c r="E698" s="7">
        <v>16</v>
      </c>
      <c r="F698" s="7">
        <v>0</v>
      </c>
      <c r="G698" s="7">
        <v>0</v>
      </c>
      <c r="H698" s="7">
        <v>0</v>
      </c>
      <c r="I698" s="7">
        <v>0</v>
      </c>
      <c r="J698" s="7">
        <v>2</v>
      </c>
      <c r="K698" s="7">
        <f t="shared" ref="K698" si="1353">IF(B698=0,"",B698-B646)</f>
        <v>-27388</v>
      </c>
      <c r="L698" s="7">
        <f t="shared" ref="L698" si="1354">IF(C698=0,"",C698-C646)</f>
        <v>-27166</v>
      </c>
      <c r="M698" s="8">
        <f t="shared" ref="M698" si="1355">IF(K698="","",B698/B646-1)</f>
        <v>-0.57722137919406502</v>
      </c>
      <c r="N698" s="8">
        <f t="shared" ref="N698" si="1356">IF(L698="","",C698/C646-1)</f>
        <v>-0.57636899836632516</v>
      </c>
      <c r="O698" s="7">
        <f>3454+1</f>
        <v>3455</v>
      </c>
      <c r="Q698" s="3"/>
      <c r="R698" s="3"/>
      <c r="S698" s="6"/>
      <c r="T698" s="7"/>
      <c r="U698" s="7"/>
      <c r="V698" s="7"/>
      <c r="W698" s="7"/>
      <c r="X698" s="7"/>
      <c r="Y698" s="7"/>
      <c r="Z698" s="7"/>
      <c r="AA698" s="7"/>
      <c r="AB698" s="7"/>
      <c r="AC698" s="7"/>
      <c r="AD698" s="7"/>
      <c r="AE698" s="8"/>
      <c r="AF698" s="8"/>
      <c r="AG698" s="7"/>
    </row>
    <row r="699" spans="1:33" ht="19.7" customHeight="1" x14ac:dyDescent="0.25">
      <c r="A699" s="6">
        <v>44730</v>
      </c>
      <c r="B699" s="7">
        <f t="shared" ref="B699" si="1357">IF(SUM(C699:J699)="","",SUM(C699:J699))</f>
        <v>20820</v>
      </c>
      <c r="C699" s="7">
        <f>20715+12</f>
        <v>20727</v>
      </c>
      <c r="D699" s="7">
        <v>76</v>
      </c>
      <c r="E699" s="7">
        <v>14</v>
      </c>
      <c r="F699" s="7">
        <v>0</v>
      </c>
      <c r="G699" s="7">
        <v>0</v>
      </c>
      <c r="H699" s="7">
        <v>0</v>
      </c>
      <c r="I699" s="7">
        <v>0</v>
      </c>
      <c r="J699" s="7">
        <v>3</v>
      </c>
      <c r="K699" s="7">
        <f t="shared" ref="K699" si="1358">IF(B699=0,"",B699-B647)</f>
        <v>-25563</v>
      </c>
      <c r="L699" s="7">
        <f t="shared" ref="L699" si="1359">IF(C699=0,"",C699-C647)</f>
        <v>-25432</v>
      </c>
      <c r="M699" s="8">
        <f t="shared" ref="M699" si="1360">IF(K699="","",B699/B647-1)</f>
        <v>-0.55112864627126323</v>
      </c>
      <c r="N699" s="8">
        <f t="shared" ref="N699" si="1361">IF(L699="","",C699/C647-1)</f>
        <v>-0.55096514222578485</v>
      </c>
      <c r="O699" s="7">
        <f>3348+6</f>
        <v>3354</v>
      </c>
      <c r="Q699" s="3"/>
      <c r="R699" s="3"/>
      <c r="S699" s="6"/>
      <c r="T699" s="7"/>
      <c r="U699" s="7"/>
      <c r="V699" s="7"/>
      <c r="W699" s="7"/>
      <c r="X699" s="7"/>
      <c r="Y699" s="7"/>
      <c r="Z699" s="7"/>
      <c r="AA699" s="7"/>
      <c r="AB699" s="7"/>
      <c r="AC699" s="7"/>
      <c r="AD699" s="7"/>
      <c r="AE699" s="8"/>
      <c r="AF699" s="8"/>
      <c r="AG699" s="7"/>
    </row>
    <row r="700" spans="1:33" ht="19.7" customHeight="1" x14ac:dyDescent="0.25">
      <c r="A700" s="6">
        <v>44737</v>
      </c>
      <c r="B700" s="7">
        <f t="shared" ref="B700" si="1362">IF(SUM(C700:J700)="","",SUM(C700:J700))</f>
        <v>20965</v>
      </c>
      <c r="C700" s="7">
        <f>20817+20</f>
        <v>20837</v>
      </c>
      <c r="D700" s="7">
        <v>110</v>
      </c>
      <c r="E700" s="7">
        <v>17</v>
      </c>
      <c r="F700" s="7">
        <v>0</v>
      </c>
      <c r="G700" s="7">
        <v>0</v>
      </c>
      <c r="H700" s="7">
        <v>0</v>
      </c>
      <c r="I700" s="7">
        <v>0</v>
      </c>
      <c r="J700" s="7">
        <v>1</v>
      </c>
      <c r="K700" s="7">
        <f t="shared" ref="K700" si="1363">IF(B700=0,"",B700-B648)</f>
        <v>-23934</v>
      </c>
      <c r="L700" s="7">
        <f t="shared" ref="L700" si="1364">IF(C700=0,"",C700-C648)</f>
        <v>-23852</v>
      </c>
      <c r="M700" s="8">
        <f t="shared" ref="M700" si="1365">IF(K700="","",B700/B648-1)</f>
        <v>-0.53306309717365641</v>
      </c>
      <c r="N700" s="8">
        <f t="shared" ref="N700" si="1366">IF(L700="","",C700/C648-1)</f>
        <v>-0.53373313343328332</v>
      </c>
      <c r="O700" s="7">
        <f>3070+1</f>
        <v>3071</v>
      </c>
      <c r="Q700" s="3"/>
      <c r="R700" s="3"/>
      <c r="S700" s="6"/>
      <c r="T700" s="7"/>
      <c r="U700" s="7"/>
      <c r="V700" s="7"/>
      <c r="W700" s="7"/>
      <c r="X700" s="7"/>
      <c r="Y700" s="7"/>
      <c r="Z700" s="7"/>
      <c r="AA700" s="7"/>
      <c r="AB700" s="7"/>
      <c r="AC700" s="7"/>
      <c r="AD700" s="7"/>
      <c r="AE700" s="8"/>
      <c r="AF700" s="8"/>
      <c r="AG700" s="7"/>
    </row>
    <row r="701" spans="1:33" ht="19.7" customHeight="1" x14ac:dyDescent="0.25">
      <c r="A701" s="6">
        <v>44744</v>
      </c>
      <c r="B701" s="7">
        <f t="shared" ref="B701" si="1367">IF(SUM(C701:J701)="","",SUM(C701:J701))</f>
        <v>21186</v>
      </c>
      <c r="C701" s="7">
        <f>21074+16</f>
        <v>21090</v>
      </c>
      <c r="D701" s="7">
        <v>82</v>
      </c>
      <c r="E701" s="7">
        <v>14</v>
      </c>
      <c r="F701" s="7">
        <v>0</v>
      </c>
      <c r="G701" s="7">
        <v>0</v>
      </c>
      <c r="H701" s="7">
        <v>0</v>
      </c>
      <c r="I701" s="7">
        <v>0</v>
      </c>
      <c r="J701" s="7">
        <v>0</v>
      </c>
      <c r="K701" s="7">
        <f t="shared" ref="K701" si="1368">IF(B701=0,"",B701-B649)</f>
        <v>-22867</v>
      </c>
      <c r="L701" s="7">
        <f t="shared" ref="L701" si="1369">IF(C701=0,"",C701-C649)</f>
        <v>-22735</v>
      </c>
      <c r="M701" s="8">
        <f t="shared" ref="M701" si="1370">IF(K701="","",B701/B649-1)</f>
        <v>-0.51907929085419835</v>
      </c>
      <c r="N701" s="8">
        <f t="shared" ref="N701" si="1371">IF(L701="","",C701/C649-1)</f>
        <v>-0.51876782658300058</v>
      </c>
      <c r="O701" s="7">
        <f>2569+1</f>
        <v>2570</v>
      </c>
      <c r="Q701" s="3"/>
      <c r="R701" s="3"/>
      <c r="S701" s="6"/>
      <c r="T701" s="7"/>
      <c r="U701" s="7"/>
      <c r="V701" s="7"/>
      <c r="W701" s="7"/>
      <c r="X701" s="7"/>
      <c r="Y701" s="7"/>
      <c r="Z701" s="7"/>
      <c r="AA701" s="7"/>
      <c r="AB701" s="7"/>
      <c r="AC701" s="7"/>
      <c r="AD701" s="7"/>
      <c r="AE701" s="8"/>
      <c r="AF701" s="8"/>
      <c r="AG701" s="7"/>
    </row>
    <row r="702" spans="1:33" ht="19.7" customHeight="1" x14ac:dyDescent="0.25">
      <c r="A702" s="6">
        <v>44751</v>
      </c>
      <c r="B702" s="7">
        <f t="shared" ref="B702" si="1372">IF(SUM(C702:J702)="","",SUM(C702:J702))</f>
        <v>21349</v>
      </c>
      <c r="C702" s="7">
        <f>21242+3</f>
        <v>21245</v>
      </c>
      <c r="D702" s="7">
        <v>91</v>
      </c>
      <c r="E702" s="7">
        <v>11</v>
      </c>
      <c r="F702" s="7">
        <v>0</v>
      </c>
      <c r="G702" s="7">
        <v>0</v>
      </c>
      <c r="H702" s="7">
        <v>0</v>
      </c>
      <c r="I702" s="7">
        <v>0</v>
      </c>
      <c r="J702" s="7">
        <v>2</v>
      </c>
      <c r="K702" s="7">
        <f t="shared" ref="K702" si="1373">IF(B702=0,"",B702-B650)</f>
        <v>-21267</v>
      </c>
      <c r="L702" s="7">
        <f t="shared" ref="L702" si="1374">IF(C702=0,"",C702-C650)</f>
        <v>-21181</v>
      </c>
      <c r="M702" s="8">
        <f t="shared" ref="M702" si="1375">IF(K702="","",B702/B650-1)</f>
        <v>-0.49903792003003566</v>
      </c>
      <c r="N702" s="8">
        <f t="shared" ref="N702" si="1376">IF(L702="","",C702/C650-1)</f>
        <v>-0.49924574553339929</v>
      </c>
      <c r="O702" s="7">
        <f>5016+1</f>
        <v>5017</v>
      </c>
      <c r="Q702" s="3"/>
      <c r="R702" s="3"/>
      <c r="S702" s="6"/>
      <c r="T702" s="7"/>
      <c r="U702" s="7"/>
      <c r="V702" s="7"/>
      <c r="W702" s="7"/>
      <c r="X702" s="7"/>
      <c r="Y702" s="7"/>
      <c r="Z702" s="7"/>
      <c r="AA702" s="7"/>
      <c r="AB702" s="7"/>
      <c r="AC702" s="7"/>
      <c r="AD702" s="7"/>
      <c r="AE702" s="8"/>
      <c r="AF702" s="8"/>
      <c r="AG702" s="7"/>
    </row>
    <row r="703" spans="1:33" ht="19.7" customHeight="1" x14ac:dyDescent="0.25">
      <c r="A703" s="6">
        <v>44758</v>
      </c>
      <c r="B703" s="7">
        <f t="shared" ref="B703" si="1377">IF(SUM(C703:J703)="","",SUM(C703:J703))</f>
        <v>22872</v>
      </c>
      <c r="C703" s="7">
        <f>22735+29</f>
        <v>22764</v>
      </c>
      <c r="D703" s="7">
        <v>83</v>
      </c>
      <c r="E703" s="7">
        <v>22</v>
      </c>
      <c r="F703" s="7">
        <v>0</v>
      </c>
      <c r="G703" s="7">
        <v>0</v>
      </c>
      <c r="H703" s="7">
        <v>0</v>
      </c>
      <c r="I703" s="7">
        <v>0</v>
      </c>
      <c r="J703" s="7">
        <v>3</v>
      </c>
      <c r="K703" s="7">
        <f t="shared" ref="K703" si="1378">IF(B703=0,"",B703-B651)</f>
        <v>-19573</v>
      </c>
      <c r="L703" s="7">
        <f t="shared" ref="L703" si="1379">IF(C703=0,"",C703-C651)</f>
        <v>-19433</v>
      </c>
      <c r="M703" s="8">
        <f t="shared" ref="M703" si="1380">IF(K703="","",B703/B651-1)</f>
        <v>-0.4611379432206385</v>
      </c>
      <c r="N703" s="8">
        <f t="shared" ref="N703" si="1381">IF(L703="","",C703/C651-1)</f>
        <v>-0.46053036945754433</v>
      </c>
      <c r="O703" s="7">
        <f>4216+2</f>
        <v>4218</v>
      </c>
      <c r="Q703" s="3"/>
      <c r="R703" s="3"/>
      <c r="S703" s="6"/>
      <c r="T703" s="7"/>
      <c r="U703" s="7"/>
      <c r="V703" s="7"/>
      <c r="W703" s="7"/>
      <c r="X703" s="7"/>
      <c r="Y703" s="7"/>
      <c r="Z703" s="7"/>
      <c r="AA703" s="7"/>
      <c r="AB703" s="7"/>
      <c r="AC703" s="7"/>
      <c r="AD703" s="7"/>
      <c r="AE703" s="8"/>
      <c r="AF703" s="8"/>
      <c r="AG703" s="7"/>
    </row>
    <row r="704" spans="1:33" ht="19.7" customHeight="1" x14ac:dyDescent="0.25">
      <c r="A704" s="6">
        <v>44765</v>
      </c>
      <c r="B704" s="7">
        <f t="shared" ref="B704" si="1382">IF(SUM(C704:J704)="","",SUM(C704:J704))</f>
        <v>23949</v>
      </c>
      <c r="C704" s="7">
        <f>23841+0</f>
        <v>23841</v>
      </c>
      <c r="D704" s="7">
        <v>88</v>
      </c>
      <c r="E704" s="7">
        <v>20</v>
      </c>
      <c r="F704" s="7">
        <v>0</v>
      </c>
      <c r="G704" s="7">
        <v>0</v>
      </c>
      <c r="H704" s="7">
        <v>0</v>
      </c>
      <c r="I704" s="7">
        <v>0</v>
      </c>
      <c r="J704" s="7">
        <v>0</v>
      </c>
      <c r="K704" s="7">
        <f t="shared" ref="K704" si="1383">IF(B704=0,"",B704-B652)</f>
        <v>-17663</v>
      </c>
      <c r="L704" s="7">
        <f t="shared" ref="L704" si="1384">IF(C704=0,"",C704-C652)</f>
        <v>-17588</v>
      </c>
      <c r="M704" s="8">
        <f t="shared" ref="M704" si="1385">IF(K704="","",B704/B652-1)</f>
        <v>-0.42446890320099973</v>
      </c>
      <c r="N704" s="8">
        <f t="shared" ref="N704" si="1386">IF(L704="","",C704/C652-1)</f>
        <v>-0.42453353930821403</v>
      </c>
      <c r="O704" s="7">
        <f>3548+0</f>
        <v>3548</v>
      </c>
      <c r="Q704" s="3"/>
      <c r="R704" s="3"/>
      <c r="S704" s="6"/>
      <c r="T704" s="7"/>
      <c r="U704" s="7"/>
      <c r="V704" s="7"/>
      <c r="W704" s="7"/>
      <c r="X704" s="7"/>
      <c r="Y704" s="7"/>
      <c r="Z704" s="7"/>
      <c r="AA704" s="7"/>
      <c r="AB704" s="7"/>
      <c r="AC704" s="7"/>
      <c r="AD704" s="7"/>
      <c r="AE704" s="8"/>
      <c r="AF704" s="8"/>
      <c r="AG704" s="7"/>
    </row>
    <row r="705" spans="1:33" ht="19.7" customHeight="1" x14ac:dyDescent="0.25">
      <c r="A705" s="6">
        <v>44772</v>
      </c>
      <c r="B705" s="7">
        <f t="shared" ref="B705" si="1387">IF(SUM(C705:J705)="","",SUM(C705:J705))</f>
        <v>24292</v>
      </c>
      <c r="C705" s="7">
        <f>24143+27</f>
        <v>24170</v>
      </c>
      <c r="D705" s="7">
        <v>100</v>
      </c>
      <c r="E705" s="7">
        <v>22</v>
      </c>
      <c r="F705" s="7">
        <v>0</v>
      </c>
      <c r="G705" s="7">
        <v>0</v>
      </c>
      <c r="H705" s="7">
        <v>0</v>
      </c>
      <c r="I705" s="7">
        <v>0</v>
      </c>
      <c r="J705" s="7">
        <v>0</v>
      </c>
      <c r="K705" s="7">
        <f t="shared" ref="K705" si="1388">IF(B705=0,"",B705-B653)</f>
        <v>-15853</v>
      </c>
      <c r="L705" s="7">
        <f t="shared" ref="L705" si="1389">IF(C705=0,"",C705-C653)</f>
        <v>-15750</v>
      </c>
      <c r="M705" s="8">
        <f t="shared" ref="M705" si="1390">IF(K705="","",B705/B653-1)</f>
        <v>-0.39489351102254333</v>
      </c>
      <c r="N705" s="8">
        <f t="shared" ref="N705" si="1391">IF(L705="","",C705/C653-1)</f>
        <v>-0.39453907815631262</v>
      </c>
      <c r="O705" s="7">
        <f>3178+2</f>
        <v>3180</v>
      </c>
      <c r="Q705" s="3"/>
      <c r="R705" s="3"/>
      <c r="S705" s="6"/>
      <c r="T705" s="7"/>
      <c r="U705" s="7"/>
      <c r="V705" s="7"/>
      <c r="W705" s="7"/>
      <c r="X705" s="7"/>
      <c r="Y705" s="7"/>
      <c r="Z705" s="7"/>
      <c r="AA705" s="7"/>
      <c r="AB705" s="7"/>
      <c r="AC705" s="7"/>
      <c r="AD705" s="7"/>
      <c r="AE705" s="8"/>
      <c r="AF705" s="8"/>
      <c r="AG705" s="7"/>
    </row>
    <row r="706" spans="1:33" ht="19.7" customHeight="1" x14ac:dyDescent="0.25">
      <c r="A706" s="6">
        <v>44779</v>
      </c>
      <c r="B706" s="7">
        <f t="shared" ref="B706" si="1392">IF(SUM(C706:J706)="","",SUM(C706:J706))</f>
        <v>24452</v>
      </c>
      <c r="C706" s="7">
        <f>24323+3</f>
        <v>24326</v>
      </c>
      <c r="D706" s="7">
        <v>109</v>
      </c>
      <c r="E706" s="7">
        <v>15</v>
      </c>
      <c r="F706" s="7">
        <v>0</v>
      </c>
      <c r="G706" s="7">
        <v>0</v>
      </c>
      <c r="H706" s="7">
        <v>0</v>
      </c>
      <c r="I706" s="7">
        <v>0</v>
      </c>
      <c r="J706" s="7">
        <v>2</v>
      </c>
      <c r="K706" s="7">
        <f t="shared" ref="K706" si="1393">IF(B706=0,"",B706-B654)</f>
        <v>-14187</v>
      </c>
      <c r="L706" s="7">
        <f t="shared" ref="L706" si="1394">IF(C706=0,"",C706-C654)</f>
        <v>-14108</v>
      </c>
      <c r="M706" s="8">
        <f t="shared" ref="M706" si="1395">IF(K706="","",B706/B654-1)</f>
        <v>-0.36716788736768546</v>
      </c>
      <c r="N706" s="8">
        <f t="shared" ref="N706" si="1396">IF(L706="","",C706/C654-1)</f>
        <v>-0.36707082270905966</v>
      </c>
      <c r="O706" s="7">
        <f>3262+4</f>
        <v>3266</v>
      </c>
      <c r="Q706" s="3"/>
      <c r="R706" s="3"/>
      <c r="S706" s="6"/>
      <c r="T706" s="7"/>
      <c r="U706" s="7"/>
      <c r="V706" s="7"/>
      <c r="W706" s="7"/>
      <c r="X706" s="7"/>
      <c r="Y706" s="7"/>
      <c r="Z706" s="7"/>
      <c r="AA706" s="7"/>
      <c r="AB706" s="7"/>
      <c r="AC706" s="7"/>
      <c r="AD706" s="7"/>
      <c r="AE706" s="8"/>
      <c r="AF706" s="8"/>
      <c r="AG706" s="7"/>
    </row>
    <row r="707" spans="1:33" ht="19.7" customHeight="1" x14ac:dyDescent="0.25">
      <c r="A707" s="6">
        <v>44786</v>
      </c>
      <c r="B707" s="7">
        <f t="shared" ref="B707" si="1397">IF(SUM(C707:J707)="","",SUM(C707:J707))</f>
        <v>23743</v>
      </c>
      <c r="C707" s="7">
        <f>23630+30</f>
        <v>23660</v>
      </c>
      <c r="D707" s="7">
        <v>58</v>
      </c>
      <c r="E707" s="7">
        <v>21</v>
      </c>
      <c r="F707" s="7">
        <v>0</v>
      </c>
      <c r="G707" s="7">
        <v>0</v>
      </c>
      <c r="H707" s="7">
        <v>0</v>
      </c>
      <c r="I707" s="7">
        <v>0</v>
      </c>
      <c r="J707" s="7">
        <v>4</v>
      </c>
      <c r="K707" s="7">
        <f t="shared" ref="K707" si="1398">IF(B707=0,"",B707-B655)</f>
        <v>-12667</v>
      </c>
      <c r="L707" s="7">
        <f t="shared" ref="L707" si="1399">IF(C707=0,"",C707-C655)</f>
        <v>-12588</v>
      </c>
      <c r="M707" s="8">
        <f t="shared" ref="M707" si="1400">IF(K707="","",B707/B655-1)</f>
        <v>-0.34789892886569629</v>
      </c>
      <c r="N707" s="8">
        <f t="shared" ref="N707" si="1401">IF(L707="","",C707/C655-1)</f>
        <v>-0.34727433237695871</v>
      </c>
      <c r="O707" s="7">
        <f>3080+14</f>
        <v>3094</v>
      </c>
      <c r="Q707" s="3"/>
      <c r="R707" s="3"/>
      <c r="S707" s="6"/>
      <c r="T707" s="7"/>
      <c r="U707" s="7"/>
      <c r="V707" s="7"/>
      <c r="W707" s="7"/>
      <c r="X707" s="7"/>
      <c r="Y707" s="7"/>
      <c r="Z707" s="7"/>
      <c r="AA707" s="7"/>
      <c r="AB707" s="7"/>
      <c r="AC707" s="7"/>
      <c r="AD707" s="7"/>
      <c r="AE707" s="8"/>
      <c r="AF707" s="8"/>
      <c r="AG707" s="7"/>
    </row>
    <row r="708" spans="1:33" ht="19.7" customHeight="1" x14ac:dyDescent="0.25">
      <c r="A708" s="6">
        <v>44793</v>
      </c>
      <c r="B708" s="7">
        <f t="shared" ref="B708" si="1402">IF(SUM(C708:J708)="","",SUM(C708:J708))</f>
        <v>24001</v>
      </c>
      <c r="C708" s="7">
        <f>23857+4</f>
        <v>23861</v>
      </c>
      <c r="D708" s="7">
        <v>89</v>
      </c>
      <c r="E708" s="7">
        <v>48</v>
      </c>
      <c r="F708" s="7">
        <v>0</v>
      </c>
      <c r="G708" s="7">
        <v>0</v>
      </c>
      <c r="H708" s="7">
        <v>0</v>
      </c>
      <c r="I708" s="7">
        <v>0</v>
      </c>
      <c r="J708" s="7">
        <v>3</v>
      </c>
      <c r="K708" s="7">
        <f t="shared" ref="K708" si="1403">IF(B708=0,"",B708-B656)</f>
        <v>-11910</v>
      </c>
      <c r="L708" s="7">
        <f t="shared" ref="L708" si="1404">IF(C708=0,"",C708-C656)</f>
        <v>-11893</v>
      </c>
      <c r="M708" s="8">
        <f t="shared" ref="M708" si="1405">IF(K708="","",B708/B656-1)</f>
        <v>-0.331653253877642</v>
      </c>
      <c r="N708" s="8">
        <f t="shared" ref="N708" si="1406">IF(L708="","",C708/C656-1)</f>
        <v>-0.33263411086871397</v>
      </c>
      <c r="O708" s="7">
        <f>2907+0</f>
        <v>2907</v>
      </c>
      <c r="Q708" s="3"/>
      <c r="R708" s="3"/>
      <c r="S708" s="6"/>
      <c r="T708" s="7"/>
      <c r="U708" s="7"/>
      <c r="V708" s="7"/>
      <c r="W708" s="7"/>
      <c r="X708" s="7"/>
      <c r="Y708" s="7"/>
      <c r="Z708" s="7"/>
      <c r="AA708" s="7"/>
      <c r="AB708" s="7"/>
      <c r="AC708" s="7"/>
      <c r="AD708" s="7"/>
      <c r="AE708" s="8"/>
      <c r="AF708" s="8"/>
      <c r="AG708" s="7"/>
    </row>
    <row r="709" spans="1:33" ht="19.7" customHeight="1" x14ac:dyDescent="0.25">
      <c r="A709" s="6">
        <v>44800</v>
      </c>
      <c r="B709" s="7">
        <f t="shared" ref="B709:B715" si="1407">IF(SUM(C709:J709)="","",SUM(C709:J709))</f>
        <v>23381</v>
      </c>
      <c r="C709" s="7">
        <f>23290+24</f>
        <v>23314</v>
      </c>
      <c r="D709" s="7">
        <v>50</v>
      </c>
      <c r="E709" s="7">
        <v>16</v>
      </c>
      <c r="F709" s="7">
        <v>0</v>
      </c>
      <c r="G709" s="7">
        <v>0</v>
      </c>
      <c r="H709" s="7">
        <v>0</v>
      </c>
      <c r="I709" s="7">
        <v>0</v>
      </c>
      <c r="J709" s="7">
        <v>1</v>
      </c>
      <c r="K709" s="7">
        <f t="shared" ref="K709" si="1408">IF(B709=0,"",B709-B657)</f>
        <v>-11008</v>
      </c>
      <c r="L709" s="7">
        <f t="shared" ref="L709" si="1409">IF(C709=0,"",C709-C657)</f>
        <v>-10942</v>
      </c>
      <c r="M709" s="8">
        <f t="shared" ref="M709" si="1410">IF(K709="","",B709/B657-1)</f>
        <v>-0.32010235831225098</v>
      </c>
      <c r="N709" s="8">
        <f t="shared" ref="N709" si="1411">IF(L709="","",C709/C657-1)</f>
        <v>-0.31941849602989258</v>
      </c>
      <c r="O709" s="7">
        <f>2832+3</f>
        <v>2835</v>
      </c>
      <c r="Q709" s="3"/>
      <c r="R709" s="3"/>
      <c r="S709" s="6"/>
      <c r="T709" s="7"/>
      <c r="U709" s="7"/>
      <c r="V709" s="7"/>
      <c r="W709" s="7"/>
      <c r="X709" s="7"/>
      <c r="Y709" s="7"/>
      <c r="Z709" s="7"/>
      <c r="AA709" s="7"/>
      <c r="AB709" s="7"/>
      <c r="AC709" s="7"/>
      <c r="AD709" s="7"/>
      <c r="AE709" s="8"/>
      <c r="AF709" s="8"/>
      <c r="AG709" s="7"/>
    </row>
    <row r="710" spans="1:33" ht="19.7" customHeight="1" x14ac:dyDescent="0.25">
      <c r="A710" s="6">
        <v>44807</v>
      </c>
      <c r="B710" s="7">
        <f t="shared" si="1407"/>
        <v>23206</v>
      </c>
      <c r="C710" s="7">
        <f>23099+22</f>
        <v>23121</v>
      </c>
      <c r="D710" s="7">
        <v>67</v>
      </c>
      <c r="E710" s="7">
        <v>15</v>
      </c>
      <c r="F710" s="7">
        <v>0</v>
      </c>
      <c r="G710" s="7">
        <v>0</v>
      </c>
      <c r="H710" s="7">
        <v>0</v>
      </c>
      <c r="I710" s="7">
        <v>0</v>
      </c>
      <c r="J710" s="7">
        <v>3</v>
      </c>
      <c r="K710" s="7">
        <f t="shared" ref="K710" si="1412">IF(B710=0,"",B710-B658)</f>
        <v>-9879</v>
      </c>
      <c r="L710" s="7">
        <f t="shared" ref="L710" si="1413">IF(C710=0,"",C710-C658)</f>
        <v>-9782</v>
      </c>
      <c r="M710" s="8">
        <f t="shared" ref="M710" si="1414">IF(K710="","",B710/B658-1)</f>
        <v>-0.29859452924285934</v>
      </c>
      <c r="N710" s="8">
        <f t="shared" ref="N710" si="1415">IF(L710="","",C710/C658-1)</f>
        <v>-0.29729811871257938</v>
      </c>
      <c r="O710" s="7">
        <f>2905+0</f>
        <v>2905</v>
      </c>
      <c r="Q710" s="3"/>
      <c r="R710" s="3"/>
      <c r="S710" s="6"/>
      <c r="T710" s="7"/>
      <c r="U710" s="7"/>
      <c r="V710" s="7"/>
      <c r="W710" s="7"/>
      <c r="X710" s="7"/>
      <c r="Y710" s="7"/>
      <c r="Z710" s="7"/>
      <c r="AA710" s="7"/>
      <c r="AB710" s="7"/>
      <c r="AC710" s="7"/>
      <c r="AD710" s="7"/>
      <c r="AE710" s="8"/>
      <c r="AF710" s="8"/>
      <c r="AG710" s="7"/>
    </row>
    <row r="711" spans="1:33" ht="19.7" customHeight="1" x14ac:dyDescent="0.25">
      <c r="A711" s="6">
        <v>44814</v>
      </c>
      <c r="B711" s="7">
        <f t="shared" si="1407"/>
        <v>22466</v>
      </c>
      <c r="C711" s="7">
        <f>22372+19</f>
        <v>22391</v>
      </c>
      <c r="D711" s="7">
        <v>54</v>
      </c>
      <c r="E711" s="7">
        <v>19</v>
      </c>
      <c r="F711" s="7">
        <v>0</v>
      </c>
      <c r="G711" s="7">
        <v>0</v>
      </c>
      <c r="H711" s="7">
        <v>0</v>
      </c>
      <c r="I711" s="7">
        <v>0</v>
      </c>
      <c r="J711" s="7">
        <v>2</v>
      </c>
      <c r="K711" s="7">
        <f t="shared" ref="K711" si="1416">IF(B711=0,"",B711-B659)</f>
        <v>-6156</v>
      </c>
      <c r="L711" s="7">
        <f t="shared" ref="L711" si="1417">IF(C711=0,"",C711-C659)</f>
        <v>-6129</v>
      </c>
      <c r="M711" s="8">
        <f t="shared" ref="M711" si="1418">IF(K711="","",B711/B659-1)</f>
        <v>-0.21507930962196908</v>
      </c>
      <c r="N711" s="8">
        <f t="shared" ref="N711" si="1419">IF(L711="","",C711/C659-1)</f>
        <v>-0.21490182328190743</v>
      </c>
      <c r="O711" s="7">
        <f>2530+2</f>
        <v>2532</v>
      </c>
      <c r="Q711" s="3"/>
      <c r="R711" s="3"/>
      <c r="S711" s="6"/>
      <c r="T711" s="7"/>
      <c r="U711" s="7"/>
      <c r="V711" s="7"/>
      <c r="W711" s="7"/>
      <c r="X711" s="7"/>
      <c r="Y711" s="7"/>
      <c r="Z711" s="7"/>
      <c r="AA711" s="7"/>
      <c r="AB711" s="7"/>
      <c r="AC711" s="7"/>
      <c r="AD711" s="7"/>
      <c r="AE711" s="8"/>
      <c r="AF711" s="8"/>
      <c r="AG711" s="7"/>
    </row>
    <row r="712" spans="1:33" ht="19.7" customHeight="1" x14ac:dyDescent="0.25">
      <c r="A712" s="6">
        <v>44821</v>
      </c>
      <c r="B712" s="7">
        <f t="shared" si="1407"/>
        <v>22204</v>
      </c>
      <c r="C712" s="7">
        <f>22106+16</f>
        <v>22122</v>
      </c>
      <c r="D712" s="7">
        <v>55</v>
      </c>
      <c r="E712" s="7">
        <v>25</v>
      </c>
      <c r="F712" s="7">
        <v>0</v>
      </c>
      <c r="G712" s="7">
        <v>0</v>
      </c>
      <c r="H712" s="7">
        <v>0</v>
      </c>
      <c r="I712" s="7">
        <v>0</v>
      </c>
      <c r="J712" s="7">
        <v>2</v>
      </c>
      <c r="K712" s="7">
        <f t="shared" ref="K712" si="1420">IF(B712=0,"",B712-B660)</f>
        <v>-6687</v>
      </c>
      <c r="L712" s="7">
        <f t="shared" ref="L712" si="1421">IF(C712=0,"",C712-C660)</f>
        <v>-6658</v>
      </c>
      <c r="M712" s="8">
        <f t="shared" ref="M712" si="1422">IF(K712="","",B712/B660-1)</f>
        <v>-0.23145616281887094</v>
      </c>
      <c r="N712" s="8">
        <f t="shared" ref="N712" si="1423">IF(L712="","",C712/C660-1)</f>
        <v>-0.2313412091730368</v>
      </c>
      <c r="O712" s="7">
        <f>2638+0</f>
        <v>2638</v>
      </c>
      <c r="Q712" s="3"/>
      <c r="R712" s="3"/>
      <c r="S712" s="6"/>
      <c r="T712" s="7"/>
      <c r="U712" s="7"/>
      <c r="V712" s="7"/>
      <c r="W712" s="7"/>
      <c r="X712" s="7"/>
      <c r="Y712" s="7"/>
      <c r="Z712" s="7"/>
      <c r="AA712" s="7"/>
      <c r="AB712" s="7"/>
      <c r="AC712" s="7"/>
      <c r="AD712" s="7"/>
      <c r="AE712" s="8"/>
      <c r="AF712" s="8"/>
      <c r="AG712" s="7"/>
    </row>
    <row r="713" spans="1:33" ht="19.7" customHeight="1" x14ac:dyDescent="0.25">
      <c r="A713" s="6">
        <v>44828</v>
      </c>
      <c r="B713" s="7">
        <f t="shared" si="1407"/>
        <v>21708</v>
      </c>
      <c r="C713" s="7">
        <f>21618+8</f>
        <v>21626</v>
      </c>
      <c r="D713" s="7">
        <v>57</v>
      </c>
      <c r="E713" s="7">
        <v>22</v>
      </c>
      <c r="F713" s="7">
        <v>0</v>
      </c>
      <c r="G713" s="7">
        <v>0</v>
      </c>
      <c r="H713" s="7">
        <v>0</v>
      </c>
      <c r="I713" s="7">
        <v>0</v>
      </c>
      <c r="J713" s="7">
        <v>3</v>
      </c>
      <c r="K713" s="7">
        <f t="shared" ref="K713" si="1424">IF(B713=0,"",B713-B661)</f>
        <v>-4821</v>
      </c>
      <c r="L713" s="7">
        <f t="shared" ref="L713" si="1425">IF(C713=0,"",C713-C661)</f>
        <v>-4746</v>
      </c>
      <c r="M713" s="8">
        <f t="shared" ref="M713" si="1426">IF(K713="","",B713/B661-1)</f>
        <v>-0.18172565871310642</v>
      </c>
      <c r="N713" s="8">
        <f t="shared" ref="N713" si="1427">IF(L713="","",C713/C661-1)</f>
        <v>-0.17996359775519488</v>
      </c>
      <c r="O713" s="7">
        <f>2669+4</f>
        <v>2673</v>
      </c>
      <c r="Q713" s="3"/>
      <c r="R713" s="3"/>
      <c r="S713" s="6"/>
      <c r="T713" s="7"/>
      <c r="U713" s="7"/>
      <c r="V713" s="7"/>
      <c r="W713" s="7"/>
      <c r="X713" s="7"/>
      <c r="Y713" s="7"/>
      <c r="Z713" s="7"/>
      <c r="AA713" s="7"/>
      <c r="AB713" s="7"/>
      <c r="AC713" s="7"/>
      <c r="AD713" s="7"/>
      <c r="AE713" s="8"/>
      <c r="AF713" s="8"/>
      <c r="AG713" s="7"/>
    </row>
    <row r="714" spans="1:33" ht="19.7" customHeight="1" x14ac:dyDescent="0.25">
      <c r="A714" s="6">
        <v>44835</v>
      </c>
      <c r="B714" s="7">
        <f t="shared" si="1407"/>
        <v>21062</v>
      </c>
      <c r="C714" s="7">
        <f>20958+3</f>
        <v>20961</v>
      </c>
      <c r="D714" s="7">
        <v>76</v>
      </c>
      <c r="E714" s="7">
        <v>25</v>
      </c>
      <c r="F714" s="7">
        <v>0</v>
      </c>
      <c r="G714" s="7">
        <v>0</v>
      </c>
      <c r="H714" s="7">
        <v>0</v>
      </c>
      <c r="I714" s="7">
        <v>0</v>
      </c>
      <c r="J714" s="7">
        <v>0</v>
      </c>
      <c r="K714" s="7">
        <f t="shared" ref="K714" si="1428">IF(B714=0,"",B714-B662)</f>
        <v>-3300</v>
      </c>
      <c r="L714" s="7">
        <f t="shared" ref="L714" si="1429">IF(C714=0,"",C714-C662)</f>
        <v>-3289</v>
      </c>
      <c r="M714" s="8">
        <f t="shared" ref="M714" si="1430">IF(K714="","",B714/B662-1)</f>
        <v>-0.13545685904277149</v>
      </c>
      <c r="N714" s="8">
        <f t="shared" ref="N714" si="1431">IF(L714="","",C714/C662-1)</f>
        <v>-0.1356288659793814</v>
      </c>
      <c r="O714" s="7">
        <f>2711+0</f>
        <v>2711</v>
      </c>
      <c r="Q714" s="3"/>
      <c r="R714" s="3"/>
      <c r="S714" s="6"/>
      <c r="T714" s="7"/>
      <c r="U714" s="7"/>
      <c r="V714" s="7"/>
      <c r="W714" s="7"/>
      <c r="X714" s="7"/>
      <c r="Y714" s="7"/>
      <c r="Z714" s="7"/>
      <c r="AA714" s="7"/>
      <c r="AB714" s="7"/>
      <c r="AC714" s="7"/>
      <c r="AD714" s="7"/>
      <c r="AE714" s="8"/>
      <c r="AF714" s="8"/>
      <c r="AG714" s="7"/>
    </row>
    <row r="715" spans="1:33" ht="19.7" customHeight="1" x14ac:dyDescent="0.25">
      <c r="A715" s="6">
        <v>44842</v>
      </c>
      <c r="B715" s="7">
        <f t="shared" si="1407"/>
        <v>20225</v>
      </c>
      <c r="C715" s="7">
        <f>20103+27</f>
        <v>20130</v>
      </c>
      <c r="D715" s="7">
        <v>71</v>
      </c>
      <c r="E715" s="7">
        <v>23</v>
      </c>
      <c r="F715" s="7">
        <v>0</v>
      </c>
      <c r="G715" s="7">
        <v>0</v>
      </c>
      <c r="H715" s="7">
        <v>0</v>
      </c>
      <c r="I715" s="7">
        <v>0</v>
      </c>
      <c r="J715" s="7">
        <v>1</v>
      </c>
      <c r="K715" s="7">
        <f t="shared" ref="K715" si="1432">IF(B715=0,"",B715-B663)</f>
        <v>-2734</v>
      </c>
      <c r="L715" s="7">
        <f t="shared" ref="L715" si="1433">IF(C715=0,"",C715-C663)</f>
        <v>-2700</v>
      </c>
      <c r="M715" s="8">
        <f t="shared" ref="M715" si="1434">IF(K715="","",B715/B663-1)</f>
        <v>-0.11908184154362123</v>
      </c>
      <c r="N715" s="8">
        <f t="shared" ref="N715" si="1435">IF(L715="","",C715/C663-1)</f>
        <v>-0.11826544021024965</v>
      </c>
      <c r="O715" s="7">
        <f>3242+1</f>
        <v>3243</v>
      </c>
      <c r="Q715" s="3"/>
      <c r="R715" s="3"/>
      <c r="S715" s="6"/>
      <c r="T715" s="7"/>
      <c r="U715" s="7"/>
      <c r="V715" s="7"/>
      <c r="W715" s="7"/>
      <c r="X715" s="7"/>
      <c r="Y715" s="7"/>
      <c r="Z715" s="7"/>
      <c r="AA715" s="7"/>
      <c r="AB715" s="7"/>
      <c r="AC715" s="7"/>
      <c r="AD715" s="7"/>
      <c r="AE715" s="8"/>
      <c r="AF715" s="8"/>
      <c r="AG715" s="7"/>
    </row>
    <row r="716" spans="1:33" ht="19.7" customHeight="1" x14ac:dyDescent="0.25">
      <c r="A716" s="6">
        <v>44849</v>
      </c>
      <c r="B716" s="7">
        <f t="shared" ref="B716" si="1436">IF(SUM(C716:J716)="","",SUM(C716:J716))</f>
        <v>20117</v>
      </c>
      <c r="C716" s="7">
        <f>20037+7</f>
        <v>20044</v>
      </c>
      <c r="D716" s="7">
        <v>56</v>
      </c>
      <c r="E716" s="7">
        <v>17</v>
      </c>
      <c r="F716" s="7">
        <v>0</v>
      </c>
      <c r="G716" s="7">
        <v>0</v>
      </c>
      <c r="H716" s="7">
        <v>0</v>
      </c>
      <c r="I716" s="7">
        <v>0</v>
      </c>
      <c r="J716" s="7">
        <v>0</v>
      </c>
      <c r="K716" s="7">
        <f t="shared" ref="K716" si="1437">IF(B716=0,"",B716-B664)</f>
        <v>-426</v>
      </c>
      <c r="L716" s="7">
        <f t="shared" ref="L716" si="1438">IF(C716=0,"",C716-C664)</f>
        <v>-365</v>
      </c>
      <c r="M716" s="8">
        <f t="shared" ref="M716" si="1439">IF(K716="","",B716/B664-1)</f>
        <v>-2.073699070242907E-2</v>
      </c>
      <c r="N716" s="8">
        <f t="shared" ref="N716" si="1440">IF(L716="","",C716/C664-1)</f>
        <v>-1.7884266745063493E-2</v>
      </c>
      <c r="O716" s="7">
        <f>2822+1</f>
        <v>2823</v>
      </c>
      <c r="Q716" s="3"/>
      <c r="R716" s="3"/>
      <c r="S716" s="6"/>
      <c r="T716" s="7"/>
      <c r="U716" s="7"/>
      <c r="V716" s="7"/>
      <c r="W716" s="7"/>
      <c r="X716" s="7"/>
      <c r="Y716" s="7"/>
      <c r="Z716" s="7"/>
      <c r="AA716" s="7"/>
      <c r="AB716" s="7"/>
      <c r="AC716" s="7"/>
      <c r="AD716" s="7"/>
      <c r="AE716" s="8"/>
      <c r="AF716" s="8"/>
      <c r="AG716" s="7"/>
    </row>
    <row r="717" spans="1:33" ht="19.7" customHeight="1" x14ac:dyDescent="0.25">
      <c r="A717" s="6">
        <v>44856</v>
      </c>
      <c r="B717" s="7">
        <f t="shared" ref="B717" si="1441">IF(SUM(C717:J717)="","",SUM(C717:J717))</f>
        <v>19640</v>
      </c>
      <c r="C717" s="7">
        <f>19520+27</f>
        <v>19547</v>
      </c>
      <c r="D717" s="7">
        <v>72</v>
      </c>
      <c r="E717" s="7">
        <v>21</v>
      </c>
      <c r="F717" s="7">
        <v>0</v>
      </c>
      <c r="G717" s="7">
        <v>0</v>
      </c>
      <c r="H717" s="7">
        <v>0</v>
      </c>
      <c r="I717" s="7">
        <v>0</v>
      </c>
      <c r="J717" s="7">
        <v>0</v>
      </c>
      <c r="K717" s="7">
        <f t="shared" ref="K717" si="1442">IF(B717=0,"",B717-B665)</f>
        <v>-375</v>
      </c>
      <c r="L717" s="7">
        <f t="shared" ref="L717" si="1443">IF(C717=0,"",C717-C665)</f>
        <v>-300</v>
      </c>
      <c r="M717" s="8">
        <f t="shared" ref="M717" si="1444">IF(K717="","",B717/B665-1)</f>
        <v>-1.8735948038970718E-2</v>
      </c>
      <c r="N717" s="8">
        <f t="shared" ref="N717" si="1445">IF(L717="","",C717/C665-1)</f>
        <v>-1.5115634604726202E-2</v>
      </c>
      <c r="O717" s="7">
        <f>2898+1</f>
        <v>2899</v>
      </c>
      <c r="Q717" s="3"/>
      <c r="R717" s="3"/>
      <c r="S717" s="6"/>
      <c r="T717" s="7"/>
      <c r="U717" s="7"/>
      <c r="V717" s="7"/>
      <c r="W717" s="7"/>
      <c r="X717" s="7"/>
      <c r="Y717" s="7"/>
      <c r="Z717" s="7"/>
      <c r="AA717" s="7"/>
      <c r="AB717" s="7"/>
      <c r="AC717" s="7"/>
      <c r="AD717" s="7"/>
      <c r="AE717" s="8"/>
      <c r="AF717" s="8"/>
      <c r="AG717" s="7"/>
    </row>
    <row r="718" spans="1:33" ht="19.7" customHeight="1" x14ac:dyDescent="0.25">
      <c r="A718" s="6">
        <v>44863</v>
      </c>
      <c r="B718" s="7">
        <f t="shared" ref="B718" si="1446">IF(SUM(C718:J718)="","",SUM(C718:J718))</f>
        <v>19779</v>
      </c>
      <c r="C718" s="7">
        <f>19680+7</f>
        <v>19687</v>
      </c>
      <c r="D718" s="7">
        <v>77</v>
      </c>
      <c r="E718" s="7">
        <v>15</v>
      </c>
      <c r="F718" s="7">
        <v>0</v>
      </c>
      <c r="G718" s="7">
        <v>0</v>
      </c>
      <c r="H718" s="7">
        <v>0</v>
      </c>
      <c r="I718" s="7">
        <v>0</v>
      </c>
      <c r="J718" s="7">
        <v>0</v>
      </c>
      <c r="K718" s="7">
        <f t="shared" ref="K718" si="1447">IF(B718=0,"",B718-B666)</f>
        <v>795</v>
      </c>
      <c r="L718" s="7">
        <f t="shared" ref="L718" si="1448">IF(C718=0,"",C718-C666)</f>
        <v>852</v>
      </c>
      <c r="M718" s="8">
        <f t="shared" ref="M718" si="1449">IF(K718="","",B718/B666-1)</f>
        <v>4.1877370417193527E-2</v>
      </c>
      <c r="N718" s="8">
        <f t="shared" ref="N718" si="1450">IF(L718="","",C718/C666-1)</f>
        <v>4.5234934961507767E-2</v>
      </c>
      <c r="O718" s="7">
        <f>2815+1</f>
        <v>2816</v>
      </c>
      <c r="Q718" s="3"/>
      <c r="R718" s="3"/>
      <c r="S718" s="6"/>
      <c r="T718" s="7"/>
      <c r="U718" s="7"/>
      <c r="V718" s="7"/>
      <c r="W718" s="7"/>
      <c r="X718" s="7"/>
      <c r="Y718" s="7"/>
      <c r="Z718" s="7"/>
      <c r="AA718" s="7"/>
      <c r="AB718" s="7"/>
      <c r="AC718" s="7"/>
      <c r="AD718" s="7"/>
      <c r="AE718" s="8"/>
      <c r="AF718" s="8"/>
      <c r="AG718" s="7"/>
    </row>
    <row r="719" spans="1:33" ht="19.7" customHeight="1" x14ac:dyDescent="0.25">
      <c r="A719" s="6">
        <v>44870</v>
      </c>
      <c r="B719" s="7">
        <f t="shared" ref="B719" si="1451">IF(SUM(C719:J719)="","",SUM(C719:J719))</f>
        <v>19173</v>
      </c>
      <c r="C719" s="7">
        <f>19063+24</f>
        <v>19087</v>
      </c>
      <c r="D719" s="7">
        <v>72</v>
      </c>
      <c r="E719" s="7">
        <v>13</v>
      </c>
      <c r="F719" s="7">
        <v>0</v>
      </c>
      <c r="G719" s="7">
        <v>0</v>
      </c>
      <c r="H719" s="7">
        <v>0</v>
      </c>
      <c r="I719" s="7">
        <v>0</v>
      </c>
      <c r="J719" s="7">
        <v>1</v>
      </c>
      <c r="K719" s="7">
        <f t="shared" ref="K719" si="1452">IF(B719=0,"",B719-B667)</f>
        <v>161</v>
      </c>
      <c r="L719" s="7">
        <f t="shared" ref="L719" si="1453">IF(C719=0,"",C719-C667)</f>
        <v>216</v>
      </c>
      <c r="M719" s="8">
        <f t="shared" ref="M719" si="1454">IF(K719="","",B719/B667-1)</f>
        <v>8.4683357879233867E-3</v>
      </c>
      <c r="N719" s="8">
        <f t="shared" ref="N719" si="1455">IF(L719="","",C719/C667-1)</f>
        <v>1.144613428011243E-2</v>
      </c>
      <c r="O719" s="7">
        <f>3078+4</f>
        <v>3082</v>
      </c>
      <c r="Q719" s="3"/>
      <c r="R719" s="3"/>
      <c r="S719" s="6"/>
      <c r="T719" s="7"/>
      <c r="U719" s="7"/>
      <c r="V719" s="7"/>
      <c r="W719" s="7"/>
      <c r="X719" s="7"/>
      <c r="Y719" s="7"/>
      <c r="Z719" s="7"/>
      <c r="AA719" s="7"/>
      <c r="AB719" s="7"/>
      <c r="AC719" s="7"/>
      <c r="AD719" s="7"/>
      <c r="AE719" s="8"/>
      <c r="AF719" s="8"/>
      <c r="AG719" s="7"/>
    </row>
    <row r="720" spans="1:33" ht="19.7" customHeight="1" x14ac:dyDescent="0.25">
      <c r="A720" s="6">
        <v>44877</v>
      </c>
      <c r="B720" s="7">
        <f t="shared" ref="B720" si="1456">IF(SUM(C720:J720)="","",SUM(C720:J720))</f>
        <v>17441</v>
      </c>
      <c r="C720" s="7">
        <f>17344+16</f>
        <v>17360</v>
      </c>
      <c r="D720" s="7">
        <v>70</v>
      </c>
      <c r="E720" s="7">
        <v>10</v>
      </c>
      <c r="F720" s="7">
        <v>0</v>
      </c>
      <c r="G720" s="7">
        <v>0</v>
      </c>
      <c r="H720" s="7">
        <v>0</v>
      </c>
      <c r="I720" s="7">
        <v>0</v>
      </c>
      <c r="J720" s="7">
        <v>1</v>
      </c>
      <c r="K720" s="7">
        <f t="shared" ref="K720" si="1457">IF(B720=0,"",B720-B668)</f>
        <v>643</v>
      </c>
      <c r="L720" s="7">
        <f t="shared" ref="L720" si="1458">IF(C720=0,"",C720-C668)</f>
        <v>716</v>
      </c>
      <c r="M720" s="8">
        <f t="shared" ref="M720" si="1459">IF(K720="","",B720/B668-1)</f>
        <v>3.8278366472199066E-2</v>
      </c>
      <c r="N720" s="8">
        <f t="shared" ref="N720" si="1460">IF(L720="","",C720/C668-1)</f>
        <v>4.3018505167027099E-2</v>
      </c>
      <c r="O720" s="7">
        <f>2389+1</f>
        <v>2390</v>
      </c>
      <c r="Q720" s="3"/>
      <c r="R720" s="3"/>
      <c r="S720" s="6"/>
      <c r="T720" s="7"/>
      <c r="U720" s="7"/>
      <c r="V720" s="7"/>
      <c r="W720" s="7"/>
      <c r="X720" s="7"/>
      <c r="Y720" s="7"/>
      <c r="Z720" s="7"/>
      <c r="AA720" s="7"/>
      <c r="AB720" s="7"/>
      <c r="AC720" s="7"/>
      <c r="AD720" s="7"/>
      <c r="AE720" s="8"/>
      <c r="AF720" s="8"/>
      <c r="AG720" s="7"/>
    </row>
    <row r="721" spans="1:33" ht="19.7" customHeight="1" x14ac:dyDescent="0.25">
      <c r="A721" s="6">
        <v>44884</v>
      </c>
      <c r="B721" s="7">
        <f t="shared" ref="B721" si="1461">IF(SUM(C721:J721)="","",SUM(C721:J721))</f>
        <v>19182</v>
      </c>
      <c r="C721" s="7">
        <f>19030+51</f>
        <v>19081</v>
      </c>
      <c r="D721" s="7">
        <v>87</v>
      </c>
      <c r="E721" s="7">
        <v>14</v>
      </c>
      <c r="F721" s="7">
        <v>0</v>
      </c>
      <c r="G721" s="7">
        <v>0</v>
      </c>
      <c r="H721" s="7">
        <v>0</v>
      </c>
      <c r="I721" s="7">
        <v>0</v>
      </c>
      <c r="J721" s="7">
        <v>0</v>
      </c>
      <c r="K721" s="7">
        <f t="shared" ref="K721" si="1462">IF(B721=0,"",B721-B669)</f>
        <v>2280</v>
      </c>
      <c r="L721" s="7">
        <f t="shared" ref="L721" si="1463">IF(C721=0,"",C721-C669)</f>
        <v>2351</v>
      </c>
      <c r="M721" s="8">
        <f t="shared" ref="M721" si="1464">IF(K721="","",B721/B669-1)</f>
        <v>0.13489527866524664</v>
      </c>
      <c r="N721" s="8">
        <f t="shared" ref="N721" si="1465">IF(L721="","",C721/C669-1)</f>
        <v>0.14052600119545722</v>
      </c>
      <c r="O721" s="7">
        <f>3357+26</f>
        <v>3383</v>
      </c>
      <c r="Q721" s="3"/>
      <c r="R721" s="3"/>
      <c r="S721" s="6"/>
      <c r="T721" s="7"/>
      <c r="U721" s="7"/>
      <c r="V721" s="7"/>
      <c r="W721" s="7"/>
      <c r="X721" s="7"/>
      <c r="Y721" s="7"/>
      <c r="Z721" s="7"/>
      <c r="AA721" s="7"/>
      <c r="AB721" s="7"/>
      <c r="AC721" s="7"/>
      <c r="AD721" s="7"/>
      <c r="AE721" s="8"/>
      <c r="AF721" s="8"/>
      <c r="AG721" s="7"/>
    </row>
    <row r="722" spans="1:33" ht="19.7" customHeight="1" x14ac:dyDescent="0.25">
      <c r="A722" s="6">
        <v>44891</v>
      </c>
      <c r="B722" s="7">
        <f t="shared" ref="B722" si="1466">IF(SUM(C722:J722)="","",SUM(C722:J722))</f>
        <v>17004</v>
      </c>
      <c r="C722" s="7">
        <f>16875+24</f>
        <v>16899</v>
      </c>
      <c r="D722" s="7">
        <v>84</v>
      </c>
      <c r="E722" s="7">
        <v>21</v>
      </c>
      <c r="F722" s="7">
        <v>0</v>
      </c>
      <c r="G722" s="7">
        <v>0</v>
      </c>
      <c r="H722" s="7">
        <v>0</v>
      </c>
      <c r="I722" s="7">
        <v>0</v>
      </c>
      <c r="J722" s="7">
        <v>0</v>
      </c>
      <c r="K722" s="7">
        <f t="shared" ref="K722" si="1467">IF(B722=0,"",B722-B670)</f>
        <v>2599</v>
      </c>
      <c r="L722" s="7">
        <f t="shared" ref="L722" si="1468">IF(C722=0,"",C722-C670)</f>
        <v>2690</v>
      </c>
      <c r="M722" s="8">
        <f t="shared" ref="M722" si="1469">IF(K722="","",B722/B670-1)</f>
        <v>0.180423464074974</v>
      </c>
      <c r="N722" s="8">
        <f t="shared" ref="N722" si="1470">IF(L722="","",C722/C670-1)</f>
        <v>0.18931663030473644</v>
      </c>
      <c r="O722" s="7">
        <f>2131+5</f>
        <v>2136</v>
      </c>
      <c r="Q722" s="3"/>
      <c r="R722" s="3"/>
      <c r="S722" s="6"/>
      <c r="T722" s="7"/>
      <c r="U722" s="7"/>
      <c r="V722" s="7"/>
      <c r="W722" s="7"/>
      <c r="X722" s="7"/>
      <c r="Y722" s="7"/>
      <c r="Z722" s="7"/>
      <c r="AA722" s="7"/>
      <c r="AB722" s="7"/>
      <c r="AC722" s="7"/>
      <c r="AD722" s="7"/>
      <c r="AE722" s="8"/>
      <c r="AF722" s="8"/>
      <c r="AG722" s="7"/>
    </row>
    <row r="723" spans="1:33" ht="19.7" customHeight="1" x14ac:dyDescent="0.25">
      <c r="A723" s="6">
        <v>44898</v>
      </c>
      <c r="B723" s="7">
        <f t="shared" ref="B723" si="1471">IF(SUM(C723:J723)="","",SUM(C723:J723))</f>
        <v>18021</v>
      </c>
      <c r="C723" s="7">
        <f>17883+35</f>
        <v>17918</v>
      </c>
      <c r="D723" s="7">
        <v>88</v>
      </c>
      <c r="E723" s="7">
        <v>14</v>
      </c>
      <c r="F723" s="7">
        <v>0</v>
      </c>
      <c r="G723" s="7">
        <v>0</v>
      </c>
      <c r="H723" s="7">
        <v>0</v>
      </c>
      <c r="I723" s="7">
        <v>0</v>
      </c>
      <c r="J723" s="7">
        <v>1</v>
      </c>
      <c r="K723" s="7">
        <f t="shared" ref="K723" si="1472">IF(B723=0,"",B723-B671)</f>
        <v>2650</v>
      </c>
      <c r="L723" s="7">
        <f t="shared" ref="L723" si="1473">IF(C723=0,"",C723-C671)</f>
        <v>2728</v>
      </c>
      <c r="M723" s="8">
        <f t="shared" ref="M723" si="1474">IF(K723="","",B723/B671-1)</f>
        <v>0.17240257628000788</v>
      </c>
      <c r="N723" s="8">
        <f t="shared" ref="N723" si="1475">IF(L723="","",C723/C671-1)</f>
        <v>0.17959183673469381</v>
      </c>
      <c r="O723" s="7">
        <f>2941+0</f>
        <v>2941</v>
      </c>
      <c r="Q723" s="3"/>
      <c r="R723" s="3"/>
      <c r="S723" s="6"/>
      <c r="T723" s="7"/>
      <c r="U723" s="7"/>
      <c r="V723" s="7"/>
      <c r="W723" s="7"/>
      <c r="X723" s="7"/>
      <c r="Y723" s="7"/>
      <c r="Z723" s="7"/>
      <c r="AA723" s="7"/>
      <c r="AB723" s="7"/>
      <c r="AC723" s="7"/>
      <c r="AD723" s="7"/>
      <c r="AE723" s="8"/>
      <c r="AF723" s="8"/>
      <c r="AG723" s="7"/>
    </row>
    <row r="724" spans="1:33" ht="19.7" customHeight="1" x14ac:dyDescent="0.25">
      <c r="A724" s="6">
        <v>44905</v>
      </c>
      <c r="B724" s="7">
        <f t="shared" ref="B724" si="1476">IF(SUM(C724:J724)="","",SUM(C724:J724))</f>
        <v>17694</v>
      </c>
      <c r="C724" s="7">
        <f>17557+40</f>
        <v>17597</v>
      </c>
      <c r="D724" s="7">
        <v>79</v>
      </c>
      <c r="E724" s="7">
        <v>13</v>
      </c>
      <c r="F724" s="7">
        <v>0</v>
      </c>
      <c r="G724" s="7">
        <v>0</v>
      </c>
      <c r="H724" s="7">
        <v>0</v>
      </c>
      <c r="I724" s="7">
        <v>0</v>
      </c>
      <c r="J724" s="7">
        <v>5</v>
      </c>
      <c r="K724" s="7">
        <f t="shared" ref="K724" si="1477">IF(B724=0,"",B724-B672)</f>
        <v>3857</v>
      </c>
      <c r="L724" s="7">
        <f t="shared" ref="L724" si="1478">IF(C724=0,"",C724-C672)</f>
        <v>3940</v>
      </c>
      <c r="M724" s="8">
        <f t="shared" ref="M724" si="1479">IF(K724="","",B724/B672-1)</f>
        <v>0.27874539278745392</v>
      </c>
      <c r="N724" s="8">
        <f t="shared" ref="N724" si="1480">IF(L724="","",C724/C672-1)</f>
        <v>0.28849674159771554</v>
      </c>
      <c r="O724" s="7">
        <f>2961+7</f>
        <v>2968</v>
      </c>
      <c r="Q724" s="3"/>
      <c r="R724" s="3"/>
      <c r="S724" s="6"/>
      <c r="T724" s="7"/>
      <c r="U724" s="7"/>
      <c r="V724" s="7"/>
      <c r="W724" s="7"/>
      <c r="X724" s="7"/>
      <c r="Y724" s="7"/>
      <c r="Z724" s="7"/>
      <c r="AA724" s="7"/>
      <c r="AB724" s="7"/>
      <c r="AC724" s="7"/>
      <c r="AD724" s="7"/>
      <c r="AE724" s="8"/>
      <c r="AF724" s="8"/>
      <c r="AG724" s="7"/>
    </row>
    <row r="725" spans="1:33" ht="19.7" customHeight="1" x14ac:dyDescent="0.25">
      <c r="A725" s="6">
        <v>44912</v>
      </c>
      <c r="B725" s="7">
        <f t="shared" ref="B725" si="1481">IF(SUM(C725:J725)="","",SUM(C725:J725))</f>
        <v>17956</v>
      </c>
      <c r="C725" s="7">
        <f>17812+39</f>
        <v>17851</v>
      </c>
      <c r="D725" s="7">
        <v>89</v>
      </c>
      <c r="E725" s="7">
        <v>16</v>
      </c>
      <c r="F725" s="7">
        <v>0</v>
      </c>
      <c r="G725" s="7">
        <v>0</v>
      </c>
      <c r="H725" s="7">
        <v>0</v>
      </c>
      <c r="I725" s="7">
        <v>0</v>
      </c>
      <c r="J725" s="7">
        <v>0</v>
      </c>
      <c r="K725" s="7">
        <f t="shared" ref="K725" si="1482">IF(B725=0,"",B725-B673)</f>
        <v>3530</v>
      </c>
      <c r="L725" s="7">
        <f t="shared" ref="L725" si="1483">IF(C725=0,"",C725-C673)</f>
        <v>3603</v>
      </c>
      <c r="M725" s="8">
        <f t="shared" ref="M725" si="1484">IF(K725="","",B725/B673-1)</f>
        <v>0.24469707472618873</v>
      </c>
      <c r="N725" s="8">
        <f t="shared" ref="N725" si="1485">IF(L725="","",C725/C673-1)</f>
        <v>0.2528775968556991</v>
      </c>
      <c r="O725" s="7">
        <f>2780+6</f>
        <v>2786</v>
      </c>
      <c r="Q725" s="3"/>
      <c r="R725" s="3"/>
      <c r="S725" s="6"/>
      <c r="T725" s="7"/>
      <c r="U725" s="7"/>
      <c r="V725" s="7"/>
      <c r="W725" s="7"/>
      <c r="X725" s="7"/>
      <c r="Y725" s="7"/>
      <c r="Z725" s="7"/>
      <c r="AA725" s="7"/>
      <c r="AB725" s="7"/>
      <c r="AC725" s="7"/>
      <c r="AD725" s="7"/>
      <c r="AE725" s="8"/>
      <c r="AF725" s="8"/>
      <c r="AG725" s="7"/>
    </row>
    <row r="726" spans="1:33" ht="19.7" customHeight="1" x14ac:dyDescent="0.25">
      <c r="A726" s="6">
        <v>44919</v>
      </c>
      <c r="B726" s="7">
        <f t="shared" ref="B726" si="1486">IF(SUM(C726:J726)="","",SUM(C726:J726))</f>
        <v>17836</v>
      </c>
      <c r="C726" s="7">
        <f>17704+22</f>
        <v>17726</v>
      </c>
      <c r="D726" s="7">
        <v>96</v>
      </c>
      <c r="E726" s="7">
        <v>14</v>
      </c>
      <c r="F726" s="7">
        <v>0</v>
      </c>
      <c r="G726" s="7">
        <v>0</v>
      </c>
      <c r="H726" s="7">
        <v>0</v>
      </c>
      <c r="I726" s="7">
        <v>0</v>
      </c>
      <c r="J726" s="7">
        <v>0</v>
      </c>
      <c r="K726" s="7">
        <f t="shared" ref="K726" si="1487">IF(B726=0,"",B726-B674)</f>
        <v>5361</v>
      </c>
      <c r="L726" s="7">
        <f t="shared" ref="L726" si="1488">IF(C726=0,"",C726-C674)</f>
        <v>5420</v>
      </c>
      <c r="M726" s="8">
        <f t="shared" ref="M726" si="1489">IF(K726="","",B726/B674-1)</f>
        <v>0.42973947895791587</v>
      </c>
      <c r="N726" s="8">
        <f t="shared" ref="N726" si="1490">IF(L726="","",C726/C674-1)</f>
        <v>0.44043555988948491</v>
      </c>
      <c r="O726" s="7">
        <f>2420+4</f>
        <v>2424</v>
      </c>
      <c r="Q726" s="3"/>
      <c r="R726" s="3"/>
      <c r="S726" s="6"/>
      <c r="T726" s="7"/>
      <c r="U726" s="7"/>
      <c r="V726" s="7"/>
      <c r="W726" s="7"/>
      <c r="X726" s="7"/>
      <c r="Y726" s="7"/>
      <c r="Z726" s="7"/>
      <c r="AA726" s="7"/>
      <c r="AB726" s="7"/>
      <c r="AC726" s="7"/>
      <c r="AD726" s="7"/>
      <c r="AE726" s="8"/>
      <c r="AF726" s="8"/>
      <c r="AG726" s="7"/>
    </row>
    <row r="727" spans="1:33" ht="19.7" customHeight="1" x14ac:dyDescent="0.25">
      <c r="A727" s="6">
        <v>44926</v>
      </c>
      <c r="B727" s="7">
        <f t="shared" ref="B727" si="1491">IF(SUM(C727:J727)="","",SUM(C727:J727))</f>
        <v>17807</v>
      </c>
      <c r="C727" s="7">
        <f>17659+28</f>
        <v>17687</v>
      </c>
      <c r="D727" s="7">
        <v>103</v>
      </c>
      <c r="E727" s="7">
        <v>16</v>
      </c>
      <c r="F727" s="7">
        <v>0</v>
      </c>
      <c r="G727" s="7">
        <v>0</v>
      </c>
      <c r="H727" s="7">
        <v>0</v>
      </c>
      <c r="I727" s="7">
        <v>0</v>
      </c>
      <c r="J727" s="7">
        <v>1</v>
      </c>
      <c r="K727" s="7">
        <f t="shared" ref="K727" si="1492">IF(B727=0,"",B727-B675)</f>
        <v>4436</v>
      </c>
      <c r="L727" s="7">
        <f t="shared" ref="L727" si="1493">IF(C727=0,"",C727-C675)</f>
        <v>4530</v>
      </c>
      <c r="M727" s="8">
        <f t="shared" ref="M727" si="1494">IF(K727="","",B727/B675-1)</f>
        <v>0.33176277017425782</v>
      </c>
      <c r="N727" s="8">
        <f t="shared" ref="N727" si="1495">IF(L727="","",C727/C675-1)</f>
        <v>0.34430341263205899</v>
      </c>
      <c r="O727" s="7">
        <f>2141+1</f>
        <v>2142</v>
      </c>
      <c r="Q727" s="3"/>
      <c r="R727" s="3"/>
      <c r="S727" s="6"/>
      <c r="T727" s="7"/>
      <c r="U727" s="7"/>
      <c r="V727" s="7"/>
      <c r="W727" s="7"/>
      <c r="X727" s="7"/>
      <c r="Y727" s="7"/>
      <c r="Z727" s="7"/>
      <c r="AA727" s="7"/>
      <c r="AB727" s="7"/>
      <c r="AC727" s="7"/>
      <c r="AD727" s="7"/>
      <c r="AE727" s="8"/>
      <c r="AF727" s="8"/>
      <c r="AG727" s="7"/>
    </row>
    <row r="728" spans="1:33" ht="19.7" customHeight="1" x14ac:dyDescent="0.25">
      <c r="A728" s="6">
        <v>44933</v>
      </c>
      <c r="B728" s="7">
        <f t="shared" ref="B728" si="1496">IF(SUM(C728:J728)="","",SUM(C728:J728))</f>
        <v>17931</v>
      </c>
      <c r="C728" s="7">
        <f>17813+1</f>
        <v>17814</v>
      </c>
      <c r="D728" s="7">
        <v>99</v>
      </c>
      <c r="E728" s="7">
        <v>15</v>
      </c>
      <c r="F728" s="7">
        <v>0</v>
      </c>
      <c r="G728" s="7">
        <v>0</v>
      </c>
      <c r="H728" s="7">
        <v>0</v>
      </c>
      <c r="I728" s="7">
        <v>0</v>
      </c>
      <c r="J728" s="7">
        <v>3</v>
      </c>
      <c r="K728" s="7">
        <f t="shared" ref="K728" si="1497">IF(B728=0,"",B728-B676)</f>
        <v>3772</v>
      </c>
      <c r="L728" s="7">
        <f t="shared" ref="L728" si="1498">IF(C728=0,"",C728-C676)</f>
        <v>3837</v>
      </c>
      <c r="M728" s="8">
        <f t="shared" ref="M728" si="1499">IF(K728="","",B728/B676-1)</f>
        <v>0.26640299456176275</v>
      </c>
      <c r="N728" s="8">
        <f t="shared" ref="N728" si="1500">IF(L728="","",C728/C676-1)</f>
        <v>0.27452242970594543</v>
      </c>
      <c r="O728" s="7">
        <f>3371+0</f>
        <v>3371</v>
      </c>
      <c r="Q728" s="3"/>
      <c r="R728" s="3"/>
      <c r="S728" s="6"/>
      <c r="T728" s="7"/>
      <c r="U728" s="7"/>
      <c r="V728" s="7"/>
      <c r="W728" s="7"/>
      <c r="X728" s="7"/>
      <c r="Y728" s="7"/>
      <c r="Z728" s="7"/>
      <c r="AA728" s="7"/>
      <c r="AB728" s="7"/>
      <c r="AC728" s="7"/>
      <c r="AD728" s="7"/>
      <c r="AE728" s="8"/>
      <c r="AF728" s="8"/>
      <c r="AG728" s="7"/>
    </row>
    <row r="729" spans="1:33" ht="19.7" customHeight="1" x14ac:dyDescent="0.25">
      <c r="A729" s="6">
        <v>44940</v>
      </c>
      <c r="B729" s="7">
        <f t="shared" ref="B729" si="1501">IF(SUM(C729:J729)="","",SUM(C729:J729))</f>
        <v>18726</v>
      </c>
      <c r="C729" s="7">
        <f>18490+99</f>
        <v>18589</v>
      </c>
      <c r="D729" s="7">
        <v>119</v>
      </c>
      <c r="E729" s="7">
        <v>13</v>
      </c>
      <c r="F729" s="7">
        <v>0</v>
      </c>
      <c r="G729" s="7">
        <v>0</v>
      </c>
      <c r="H729" s="7">
        <v>0</v>
      </c>
      <c r="I729" s="7">
        <v>0</v>
      </c>
      <c r="J729" s="7">
        <v>5</v>
      </c>
      <c r="K729" s="7">
        <f t="shared" ref="K729" si="1502">IF(B729=0,"",B729-B677)</f>
        <v>5271</v>
      </c>
      <c r="L729" s="7">
        <f t="shared" ref="L729" si="1503">IF(C729=0,"",C729-C677)</f>
        <v>5298</v>
      </c>
      <c r="M729" s="8">
        <f t="shared" ref="M729" si="1504">IF(K729="","",B729/B677-1)</f>
        <v>0.39175027870680035</v>
      </c>
      <c r="N729" s="8">
        <f t="shared" ref="N729" si="1505">IF(L729="","",C729/C677-1)</f>
        <v>0.39861560454442846</v>
      </c>
      <c r="O729" s="7">
        <f>3428+4</f>
        <v>3432</v>
      </c>
      <c r="Q729" s="3"/>
      <c r="R729" s="3"/>
      <c r="S729" s="6"/>
      <c r="T729" s="7"/>
      <c r="U729" s="7"/>
      <c r="V729" s="7"/>
      <c r="W729" s="7"/>
      <c r="X729" s="7"/>
      <c r="Y729" s="7"/>
      <c r="Z729" s="7"/>
      <c r="AA729" s="7"/>
      <c r="AB729" s="7"/>
      <c r="AC729" s="7"/>
      <c r="AD729" s="7"/>
      <c r="AE729" s="8"/>
      <c r="AF729" s="8"/>
      <c r="AG729" s="7"/>
    </row>
    <row r="730" spans="1:33" ht="19.7" customHeight="1" x14ac:dyDescent="0.25">
      <c r="A730" s="6">
        <v>44947</v>
      </c>
      <c r="B730" s="7">
        <f t="shared" ref="B730" si="1506">IF(SUM(C730:J730)="","",SUM(C730:J730))</f>
        <v>18667</v>
      </c>
      <c r="C730" s="7">
        <f>18528+25</f>
        <v>18553</v>
      </c>
      <c r="D730" s="7">
        <v>97</v>
      </c>
      <c r="E730" s="7">
        <v>17</v>
      </c>
      <c r="F730" s="7">
        <v>0</v>
      </c>
      <c r="G730" s="7">
        <v>0</v>
      </c>
      <c r="H730" s="7">
        <v>0</v>
      </c>
      <c r="I730" s="7">
        <v>0</v>
      </c>
      <c r="J730" s="7">
        <v>0</v>
      </c>
      <c r="K730" s="7">
        <f t="shared" ref="K730" si="1507">IF(B730=0,"",B730-B678)</f>
        <v>5199</v>
      </c>
      <c r="L730" s="7">
        <f t="shared" ref="L730" si="1508">IF(C730=0,"",C730-C678)</f>
        <v>5308</v>
      </c>
      <c r="M730" s="8">
        <f t="shared" ref="M730" si="1509">IF(K730="","",B730/B678-1)</f>
        <v>0.38602613602613611</v>
      </c>
      <c r="N730" s="8">
        <f t="shared" ref="N730" si="1510">IF(L730="","",C730/C678-1)</f>
        <v>0.40075500188750479</v>
      </c>
      <c r="O730" s="7">
        <f>3123+3</f>
        <v>3126</v>
      </c>
      <c r="Q730" s="3"/>
      <c r="R730" s="3"/>
      <c r="S730" s="6"/>
      <c r="T730" s="7"/>
      <c r="U730" s="7"/>
      <c r="V730" s="7"/>
      <c r="W730" s="7"/>
      <c r="X730" s="7"/>
      <c r="Y730" s="7"/>
      <c r="Z730" s="7"/>
      <c r="AA730" s="7"/>
      <c r="AB730" s="7"/>
      <c r="AC730" s="7"/>
      <c r="AD730" s="7"/>
      <c r="AE730" s="8"/>
      <c r="AF730" s="8"/>
      <c r="AG730" s="7"/>
    </row>
    <row r="731" spans="1:33" ht="19.7" customHeight="1" x14ac:dyDescent="0.25">
      <c r="A731" s="6">
        <v>44954</v>
      </c>
      <c r="B731" s="7">
        <f t="shared" ref="B731" si="1511">IF(SUM(C731:J731)="","",SUM(C731:J731))</f>
        <v>19419</v>
      </c>
      <c r="C731" s="7">
        <f>19192+83</f>
        <v>19275</v>
      </c>
      <c r="D731" s="7">
        <v>122</v>
      </c>
      <c r="E731" s="7">
        <v>20</v>
      </c>
      <c r="F731" s="7">
        <v>0</v>
      </c>
      <c r="G731" s="7">
        <v>0</v>
      </c>
      <c r="H731" s="7">
        <v>0</v>
      </c>
      <c r="I731" s="7">
        <v>0</v>
      </c>
      <c r="J731" s="7">
        <v>2</v>
      </c>
      <c r="K731" s="7">
        <f t="shared" ref="K731" si="1512">IF(B731=0,"",B731-B679)</f>
        <v>5701</v>
      </c>
      <c r="L731" s="7">
        <f t="shared" ref="L731" si="1513">IF(C731=0,"",C731-C679)</f>
        <v>5739</v>
      </c>
      <c r="M731" s="8">
        <f t="shared" ref="M731" si="1514">IF(K731="","",B731/B679-1)</f>
        <v>0.41558536229771104</v>
      </c>
      <c r="N731" s="8">
        <f t="shared" ref="N731" si="1515">IF(L731="","",C731/C679-1)</f>
        <v>0.42398049645390068</v>
      </c>
      <c r="O731" s="7">
        <f>3083+13</f>
        <v>3096</v>
      </c>
      <c r="Q731" s="3"/>
      <c r="R731" s="3"/>
      <c r="S731" s="6"/>
      <c r="T731" s="7"/>
      <c r="U731" s="7"/>
      <c r="V731" s="7"/>
      <c r="W731" s="7"/>
      <c r="X731" s="7"/>
      <c r="Y731" s="7"/>
      <c r="Z731" s="7"/>
      <c r="AA731" s="7"/>
      <c r="AB731" s="7"/>
      <c r="AC731" s="7"/>
      <c r="AD731" s="7"/>
      <c r="AE731" s="8"/>
      <c r="AF731" s="8"/>
      <c r="AG731" s="7"/>
    </row>
    <row r="732" spans="1:33" ht="19.7" customHeight="1" x14ac:dyDescent="0.25">
      <c r="A732" s="6">
        <v>44961</v>
      </c>
      <c r="B732" s="7">
        <f t="shared" ref="B732" si="1516">IF(SUM(C732:J732)="","",SUM(C732:J732))</f>
        <v>19372</v>
      </c>
      <c r="C732" s="7">
        <f>19242+9</f>
        <v>19251</v>
      </c>
      <c r="D732" s="7">
        <v>109</v>
      </c>
      <c r="E732" s="7">
        <v>12</v>
      </c>
      <c r="F732" s="7">
        <v>0</v>
      </c>
      <c r="G732" s="7">
        <v>0</v>
      </c>
      <c r="H732" s="7">
        <v>0</v>
      </c>
      <c r="I732" s="7">
        <v>0</v>
      </c>
      <c r="J732" s="7">
        <v>0</v>
      </c>
      <c r="K732" s="7">
        <f t="shared" ref="K732" si="1517">IF(B732=0,"",B732-B680)</f>
        <v>6047</v>
      </c>
      <c r="L732" s="7">
        <f t="shared" ref="L732" si="1518">IF(C732=0,"",C732-C680)</f>
        <v>6101</v>
      </c>
      <c r="M732" s="8">
        <f t="shared" ref="M732" si="1519">IF(K732="","",B732/B680-1)</f>
        <v>0.45380863039399633</v>
      </c>
      <c r="N732" s="8">
        <f t="shared" ref="N732" si="1520">IF(L732="","",C732/C680-1)</f>
        <v>0.4639543726235742</v>
      </c>
      <c r="O732" s="7">
        <f>3352+0</f>
        <v>3352</v>
      </c>
      <c r="Q732" s="3"/>
      <c r="R732" s="3"/>
      <c r="S732" s="6"/>
      <c r="T732" s="7"/>
      <c r="U732" s="7"/>
      <c r="V732" s="7"/>
      <c r="W732" s="7"/>
      <c r="X732" s="7"/>
      <c r="Y732" s="7"/>
      <c r="Z732" s="7"/>
      <c r="AA732" s="7"/>
      <c r="AB732" s="7"/>
      <c r="AC732" s="7"/>
      <c r="AD732" s="7"/>
      <c r="AE732" s="8"/>
      <c r="AF732" s="8"/>
      <c r="AG732" s="7"/>
    </row>
    <row r="733" spans="1:33" ht="19.7" customHeight="1" x14ac:dyDescent="0.25">
      <c r="A733" s="6">
        <v>44968</v>
      </c>
      <c r="B733" s="7">
        <f t="shared" ref="B733" si="1521">IF(SUM(C733:J733)="","",SUM(C733:J733))</f>
        <v>19420</v>
      </c>
      <c r="C733" s="7">
        <f>19242+57</f>
        <v>19299</v>
      </c>
      <c r="D733" s="7">
        <v>109</v>
      </c>
      <c r="E733" s="7">
        <v>12</v>
      </c>
      <c r="F733" s="7">
        <v>0</v>
      </c>
      <c r="G733" s="7">
        <v>0</v>
      </c>
      <c r="H733" s="7">
        <v>0</v>
      </c>
      <c r="I733" s="7">
        <v>0</v>
      </c>
      <c r="J733" s="7">
        <v>0</v>
      </c>
      <c r="K733" s="7">
        <f t="shared" ref="K733" si="1522">IF(B733=0,"",B733-B681)</f>
        <v>6645</v>
      </c>
      <c r="L733" s="7">
        <f t="shared" ref="L733" si="1523">IF(C733=0,"",C733-C681)</f>
        <v>6670</v>
      </c>
      <c r="M733" s="8">
        <f t="shared" ref="M733" si="1524">IF(K733="","",B733/B681-1)</f>
        <v>0.52015655577299413</v>
      </c>
      <c r="N733" s="8">
        <f t="shared" ref="N733" si="1525">IF(L733="","",C733/C681-1)</f>
        <v>0.5281494971890095</v>
      </c>
      <c r="O733" s="7">
        <f>3352+5</f>
        <v>3357</v>
      </c>
      <c r="Q733" s="3"/>
      <c r="R733" s="3"/>
      <c r="S733" s="6"/>
      <c r="T733" s="7"/>
      <c r="U733" s="7"/>
      <c r="V733" s="7"/>
      <c r="W733" s="7"/>
      <c r="X733" s="7"/>
      <c r="Y733" s="7"/>
      <c r="Z733" s="7"/>
      <c r="AA733" s="7"/>
      <c r="AB733" s="7"/>
      <c r="AC733" s="7"/>
      <c r="AD733" s="7"/>
      <c r="AE733" s="8"/>
      <c r="AF733" s="8"/>
      <c r="AG733" s="7"/>
    </row>
    <row r="734" spans="1:33" ht="19.7" customHeight="1" x14ac:dyDescent="0.25">
      <c r="A734" s="6">
        <v>44975</v>
      </c>
      <c r="B734" s="7">
        <f t="shared" ref="B734" si="1526">IF(SUM(C734:J734)="","",SUM(C734:J734))</f>
        <v>19792</v>
      </c>
      <c r="C734" s="7">
        <f>19653+16</f>
        <v>19669</v>
      </c>
      <c r="D734" s="7">
        <v>112</v>
      </c>
      <c r="E734" s="7">
        <v>11</v>
      </c>
      <c r="F734" s="7">
        <v>0</v>
      </c>
      <c r="G734" s="7">
        <v>0</v>
      </c>
      <c r="H734" s="7">
        <v>0</v>
      </c>
      <c r="I734" s="7">
        <v>0</v>
      </c>
      <c r="J734" s="7">
        <v>0</v>
      </c>
      <c r="K734" s="7">
        <f t="shared" ref="K734" si="1527">IF(B734=0,"",B734-B682)</f>
        <v>6646</v>
      </c>
      <c r="L734" s="7">
        <f t="shared" ref="L734" si="1528">IF(C734=0,"",C734-C682)</f>
        <v>6706</v>
      </c>
      <c r="M734" s="8">
        <f t="shared" ref="M734" si="1529">IF(K734="","",B734/B682-1)</f>
        <v>0.50555301993001667</v>
      </c>
      <c r="N734" s="8">
        <f t="shared" ref="N734" si="1530">IF(L734="","",C734/C682-1)</f>
        <v>0.51731852194708017</v>
      </c>
      <c r="O734" s="7">
        <f>2973+17</f>
        <v>2990</v>
      </c>
      <c r="Q734" s="3"/>
      <c r="R734" s="3"/>
      <c r="S734" s="6"/>
      <c r="T734" s="7"/>
      <c r="U734" s="7"/>
      <c r="V734" s="7"/>
      <c r="W734" s="7"/>
      <c r="X734" s="7"/>
      <c r="Y734" s="7"/>
      <c r="Z734" s="7"/>
      <c r="AA734" s="7"/>
      <c r="AB734" s="7"/>
      <c r="AC734" s="7"/>
      <c r="AD734" s="7"/>
      <c r="AE734" s="8"/>
      <c r="AF734" s="8"/>
      <c r="AG734" s="7"/>
    </row>
    <row r="735" spans="1:33" ht="19.7" customHeight="1" x14ac:dyDescent="0.25">
      <c r="A735" s="6">
        <v>44982</v>
      </c>
      <c r="B735" s="7">
        <f t="shared" ref="B735" si="1531">IF(SUM(C735:J735)="","",SUM(C735:J735))</f>
        <v>19614</v>
      </c>
      <c r="C735" s="7">
        <f>19414+66</f>
        <v>19480</v>
      </c>
      <c r="D735" s="7">
        <v>116</v>
      </c>
      <c r="E735" s="7">
        <v>17</v>
      </c>
      <c r="F735" s="7">
        <v>0</v>
      </c>
      <c r="G735" s="7">
        <v>0</v>
      </c>
      <c r="H735" s="7">
        <v>0</v>
      </c>
      <c r="I735" s="7">
        <v>0</v>
      </c>
      <c r="J735" s="7">
        <v>1</v>
      </c>
      <c r="K735" s="7">
        <f t="shared" ref="K735" si="1532">IF(B735=0,"",B735-B683)</f>
        <v>6156</v>
      </c>
      <c r="L735" s="7">
        <f t="shared" ref="L735" si="1533">IF(C735=0,"",C735-C683)</f>
        <v>6192</v>
      </c>
      <c r="M735" s="8">
        <f t="shared" ref="M735" si="1534">IF(K735="","",B735/B683-1)</f>
        <v>0.45742309407044135</v>
      </c>
      <c r="N735" s="8">
        <f t="shared" ref="N735" si="1535">IF(L735="","",C735/C683-1)</f>
        <v>0.46598434677904876</v>
      </c>
      <c r="O735" s="7">
        <f>2766+24</f>
        <v>2790</v>
      </c>
      <c r="Q735" s="3"/>
      <c r="R735" s="3"/>
      <c r="S735" s="6"/>
      <c r="T735" s="7"/>
      <c r="U735" s="7"/>
      <c r="V735" s="7"/>
      <c r="W735" s="7"/>
      <c r="X735" s="7"/>
      <c r="Y735" s="7"/>
      <c r="Z735" s="7"/>
      <c r="AA735" s="7"/>
      <c r="AB735" s="7"/>
      <c r="AC735" s="7"/>
      <c r="AD735" s="7"/>
      <c r="AE735" s="8"/>
      <c r="AF735" s="8"/>
      <c r="AG735" s="7"/>
    </row>
    <row r="736" spans="1:33" ht="19.7" customHeight="1" x14ac:dyDescent="0.25">
      <c r="A736" s="6">
        <v>44989</v>
      </c>
      <c r="B736" s="7">
        <f t="shared" ref="B736" si="1536">IF(SUM(C736:J736)="","",SUM(C736:J736))</f>
        <v>19825</v>
      </c>
      <c r="C736" s="7">
        <f>19662+50</f>
        <v>19712</v>
      </c>
      <c r="D736" s="7">
        <v>100</v>
      </c>
      <c r="E736" s="7">
        <v>12</v>
      </c>
      <c r="F736" s="7">
        <v>0</v>
      </c>
      <c r="G736" s="7">
        <v>0</v>
      </c>
      <c r="H736" s="7">
        <v>0</v>
      </c>
      <c r="I736" s="7">
        <v>0</v>
      </c>
      <c r="J736" s="7">
        <v>1</v>
      </c>
      <c r="K736" s="7">
        <f t="shared" ref="K736" si="1537">IF(B736=0,"",B736-B684)</f>
        <v>6429</v>
      </c>
      <c r="L736" s="7">
        <f t="shared" ref="L736" si="1538">IF(C736=0,"",C736-C684)</f>
        <v>6513</v>
      </c>
      <c r="M736" s="8">
        <f t="shared" ref="M736" si="1539">IF(K736="","",B736/B684-1)</f>
        <v>0.47991937891908032</v>
      </c>
      <c r="N736" s="8">
        <f t="shared" ref="N736" si="1540">IF(L736="","",C736/C684-1)</f>
        <v>0.49344647321766799</v>
      </c>
      <c r="O736" s="7">
        <f>3089+32</f>
        <v>3121</v>
      </c>
      <c r="Q736" s="3"/>
      <c r="R736" s="3"/>
      <c r="S736" s="6"/>
      <c r="T736" s="7"/>
      <c r="U736" s="7"/>
      <c r="V736" s="7"/>
      <c r="W736" s="7"/>
      <c r="X736" s="7"/>
      <c r="Y736" s="7"/>
      <c r="Z736" s="7"/>
      <c r="AA736" s="7"/>
      <c r="AB736" s="7"/>
      <c r="AC736" s="7"/>
      <c r="AD736" s="7"/>
      <c r="AE736" s="8"/>
      <c r="AF736" s="8"/>
      <c r="AG736" s="7"/>
    </row>
    <row r="737" spans="1:33" ht="19.7" customHeight="1" x14ac:dyDescent="0.25">
      <c r="A737" s="6">
        <v>44996</v>
      </c>
      <c r="B737" s="7">
        <f t="shared" ref="B737" si="1541">IF(SUM(C737:J737)="","",SUM(C737:J737))</f>
        <v>19646</v>
      </c>
      <c r="C737" s="7">
        <f>19496+19</f>
        <v>19515</v>
      </c>
      <c r="D737" s="7">
        <v>112</v>
      </c>
      <c r="E737" s="7">
        <v>19</v>
      </c>
      <c r="F737" s="7">
        <v>0</v>
      </c>
      <c r="G737" s="7">
        <v>0</v>
      </c>
      <c r="H737" s="7">
        <v>0</v>
      </c>
      <c r="I737" s="7">
        <v>0</v>
      </c>
      <c r="J737" s="7">
        <v>0</v>
      </c>
      <c r="K737" s="7">
        <f t="shared" ref="K737" si="1542">IF(B737=0,"",B737-B685)</f>
        <v>6484</v>
      </c>
      <c r="L737" s="7">
        <f t="shared" ref="L737" si="1543">IF(C737=0,"",C737-C685)</f>
        <v>6514</v>
      </c>
      <c r="M737" s="8">
        <f t="shared" ref="M737" si="1544">IF(K737="","",B737/B685-1)</f>
        <v>0.49263029934660385</v>
      </c>
      <c r="N737" s="8">
        <f t="shared" ref="N737" si="1545">IF(L737="","",C737/C685-1)</f>
        <v>0.5010383816629489</v>
      </c>
      <c r="O737" s="7">
        <f>2885+57</f>
        <v>2942</v>
      </c>
      <c r="Q737" s="3"/>
      <c r="R737" s="3"/>
      <c r="S737" s="6"/>
      <c r="T737" s="7"/>
      <c r="U737" s="7"/>
      <c r="V737" s="7"/>
      <c r="W737" s="7"/>
      <c r="X737" s="7"/>
      <c r="Y737" s="7"/>
      <c r="Z737" s="7"/>
      <c r="AA737" s="7"/>
      <c r="AB737" s="7"/>
      <c r="AC737" s="7"/>
      <c r="AD737" s="7"/>
      <c r="AE737" s="8"/>
      <c r="AF737" s="8"/>
      <c r="AG737" s="7"/>
    </row>
    <row r="738" spans="1:33" ht="19.7" customHeight="1" x14ac:dyDescent="0.25">
      <c r="A738" s="6">
        <v>45003</v>
      </c>
      <c r="B738" s="7">
        <f t="shared" ref="B738" si="1546">IF(SUM(C738:J738)="","",SUM(C738:J738))</f>
        <v>19856</v>
      </c>
      <c r="C738" s="7">
        <f>19521+205</f>
        <v>19726</v>
      </c>
      <c r="D738" s="7">
        <v>108</v>
      </c>
      <c r="E738" s="7">
        <v>22</v>
      </c>
      <c r="F738" s="7">
        <v>0</v>
      </c>
      <c r="G738" s="7">
        <v>0</v>
      </c>
      <c r="H738" s="7">
        <v>0</v>
      </c>
      <c r="I738" s="7">
        <v>0</v>
      </c>
      <c r="J738" s="7">
        <v>0</v>
      </c>
      <c r="K738" s="7">
        <f t="shared" ref="K738" si="1547">IF(B738=0,"",B738-B686)</f>
        <v>6492</v>
      </c>
      <c r="L738" s="7">
        <f t="shared" ref="L738" si="1548">IF(C738=0,"",C738-C686)</f>
        <v>6516</v>
      </c>
      <c r="M738" s="8">
        <f t="shared" ref="M738" si="1549">IF(K738="","",B738/B686-1)</f>
        <v>0.48578269979048194</v>
      </c>
      <c r="N738" s="8">
        <f t="shared" ref="N738" si="1550">IF(L738="","",C738/C686-1)</f>
        <v>0.49326267978803928</v>
      </c>
      <c r="O738" s="7">
        <f>3003+4</f>
        <v>3007</v>
      </c>
      <c r="Q738" s="3"/>
      <c r="R738" s="3"/>
      <c r="S738" s="6"/>
      <c r="T738" s="7"/>
      <c r="U738" s="7"/>
      <c r="V738" s="7"/>
      <c r="W738" s="7"/>
      <c r="X738" s="7"/>
      <c r="Y738" s="7"/>
      <c r="Z738" s="7"/>
      <c r="AA738" s="7"/>
      <c r="AB738" s="7"/>
      <c r="AC738" s="7"/>
      <c r="AD738" s="7"/>
      <c r="AE738" s="8"/>
      <c r="AF738" s="8"/>
      <c r="AG738" s="7"/>
    </row>
    <row r="739" spans="1:33" ht="19.7" customHeight="1" x14ac:dyDescent="0.25">
      <c r="A739" s="6">
        <v>45010</v>
      </c>
      <c r="B739" s="7">
        <f t="shared" ref="B739" si="1551">IF(SUM(C739:J739)="","",SUM(C739:J739))</f>
        <v>20057</v>
      </c>
      <c r="C739" s="7">
        <f>19877+67</f>
        <v>19944</v>
      </c>
      <c r="D739" s="7">
        <v>93</v>
      </c>
      <c r="E739" s="7">
        <v>20</v>
      </c>
      <c r="F739" s="7">
        <v>0</v>
      </c>
      <c r="G739" s="7">
        <v>0</v>
      </c>
      <c r="H739" s="7">
        <v>0</v>
      </c>
      <c r="I739" s="7">
        <v>0</v>
      </c>
      <c r="J739" s="7">
        <v>0</v>
      </c>
      <c r="K739" s="7">
        <f t="shared" ref="K739" si="1552">IF(B739=0,"",B739-B687)</f>
        <v>6997</v>
      </c>
      <c r="L739" s="7">
        <f t="shared" ref="L739" si="1553">IF(C739=0,"",C739-C687)</f>
        <v>7035</v>
      </c>
      <c r="M739" s="8">
        <f t="shared" ref="M739" si="1554">IF(K739="","",B739/B687-1)</f>
        <v>0.53575803981623271</v>
      </c>
      <c r="N739" s="8">
        <f t="shared" ref="N739" si="1555">IF(L739="","",C739/C687-1)</f>
        <v>0.54496862653962341</v>
      </c>
      <c r="O739" s="7">
        <f>3060+2</f>
        <v>3062</v>
      </c>
      <c r="Q739" s="3"/>
      <c r="R739" s="3"/>
      <c r="S739" s="6"/>
      <c r="T739" s="7"/>
      <c r="U739" s="7"/>
      <c r="V739" s="7"/>
      <c r="W739" s="7"/>
      <c r="X739" s="7"/>
      <c r="Y739" s="7"/>
      <c r="Z739" s="7"/>
      <c r="AA739" s="7"/>
      <c r="AB739" s="7"/>
      <c r="AC739" s="7"/>
      <c r="AD739" s="7"/>
      <c r="AE739" s="8"/>
      <c r="AF739" s="8"/>
      <c r="AG739" s="7"/>
    </row>
    <row r="740" spans="1:33" ht="19.7" customHeight="1" x14ac:dyDescent="0.25">
      <c r="A740" s="6">
        <v>45017</v>
      </c>
      <c r="B740" s="7">
        <f t="shared" ref="B740" si="1556">IF(SUM(C740:J740)="","",SUM(C740:J740))</f>
        <v>20281</v>
      </c>
      <c r="C740" s="7">
        <f>20093+88</f>
        <v>20181</v>
      </c>
      <c r="D740" s="7">
        <v>79</v>
      </c>
      <c r="E740" s="7">
        <v>21</v>
      </c>
      <c r="F740" s="7">
        <v>0</v>
      </c>
      <c r="G740" s="7">
        <v>0</v>
      </c>
      <c r="H740" s="7">
        <v>0</v>
      </c>
      <c r="I740" s="7">
        <v>0</v>
      </c>
      <c r="J740" s="7">
        <v>0</v>
      </c>
      <c r="K740" s="7">
        <f t="shared" ref="K740" si="1557">IF(B740=0,"",B740-B688)</f>
        <v>6493</v>
      </c>
      <c r="L740" s="7">
        <f t="shared" ref="L740" si="1558">IF(C740=0,"",C740-C688)</f>
        <v>6558</v>
      </c>
      <c r="M740" s="8">
        <f t="shared" ref="M740" si="1559">IF(K740="","",B740/B688-1)</f>
        <v>0.47091673919350163</v>
      </c>
      <c r="N740" s="8">
        <f t="shared" ref="N740" si="1560">IF(L740="","",C740/C688-1)</f>
        <v>0.48139176392865002</v>
      </c>
      <c r="O740" s="7">
        <f>2974+1</f>
        <v>2975</v>
      </c>
      <c r="Q740" s="3"/>
      <c r="R740" s="3"/>
      <c r="S740" s="6"/>
      <c r="T740" s="7"/>
      <c r="U740" s="7"/>
      <c r="V740" s="7"/>
      <c r="W740" s="7"/>
      <c r="X740" s="7"/>
      <c r="Y740" s="7"/>
      <c r="Z740" s="7"/>
      <c r="AA740" s="7"/>
      <c r="AB740" s="7"/>
      <c r="AC740" s="7"/>
      <c r="AD740" s="7"/>
      <c r="AE740" s="8"/>
      <c r="AF740" s="8"/>
      <c r="AG740" s="7"/>
    </row>
    <row r="741" spans="1:33" ht="19.7" customHeight="1" x14ac:dyDescent="0.25">
      <c r="A741" s="6">
        <v>45024</v>
      </c>
      <c r="B741" s="7">
        <f t="shared" ref="B741" si="1561">IF(SUM(C741:J741)="","",SUM(C741:J741))</f>
        <v>20133</v>
      </c>
      <c r="C741" s="7">
        <f>19979+53</f>
        <v>20032</v>
      </c>
      <c r="D741" s="7">
        <v>72</v>
      </c>
      <c r="E741" s="7">
        <v>29</v>
      </c>
      <c r="F741" s="7">
        <v>0</v>
      </c>
      <c r="G741" s="7">
        <v>0</v>
      </c>
      <c r="H741" s="7">
        <v>0</v>
      </c>
      <c r="I741" s="7">
        <v>0</v>
      </c>
      <c r="J741" s="7">
        <v>0</v>
      </c>
      <c r="K741" s="7">
        <f t="shared" ref="K741" si="1562">IF(B741=0,"",B741-B689)</f>
        <v>6696</v>
      </c>
      <c r="L741" s="7">
        <f t="shared" ref="L741" si="1563">IF(C741=0,"",C741-C689)</f>
        <v>6719</v>
      </c>
      <c r="M741" s="8">
        <f t="shared" ref="M741" si="1564">IF(K741="","",B741/B689-1)</f>
        <v>0.49832551908908229</v>
      </c>
      <c r="N741" s="8">
        <f t="shared" ref="N741" si="1565">IF(L741="","",C741/C689-1)</f>
        <v>0.50469465935551727</v>
      </c>
      <c r="O741" s="7">
        <f>4340+2</f>
        <v>4342</v>
      </c>
      <c r="Q741" s="3"/>
      <c r="R741" s="3"/>
      <c r="S741" s="6"/>
      <c r="T741" s="7"/>
      <c r="U741" s="7"/>
      <c r="V741" s="7"/>
      <c r="W741" s="7"/>
      <c r="X741" s="7"/>
      <c r="Y741" s="7"/>
      <c r="Z741" s="7"/>
      <c r="AA741" s="7"/>
      <c r="AB741" s="7"/>
      <c r="AC741" s="7"/>
      <c r="AD741" s="7"/>
      <c r="AE741" s="8"/>
      <c r="AF741" s="8"/>
      <c r="AG741" s="7"/>
    </row>
    <row r="742" spans="1:33" ht="19.7" customHeight="1" x14ac:dyDescent="0.25">
      <c r="A742" s="6">
        <v>45031</v>
      </c>
      <c r="B742" s="7">
        <f t="shared" ref="B742" si="1566">IF(SUM(C742:J742)="","",SUM(C742:J742))</f>
        <v>20858</v>
      </c>
      <c r="C742" s="7">
        <f>20650+113</f>
        <v>20763</v>
      </c>
      <c r="D742" s="7">
        <v>71</v>
      </c>
      <c r="E742" s="7">
        <v>23</v>
      </c>
      <c r="F742" s="7">
        <v>0</v>
      </c>
      <c r="G742" s="7">
        <v>0</v>
      </c>
      <c r="H742" s="7">
        <v>0</v>
      </c>
      <c r="I742" s="7">
        <v>0</v>
      </c>
      <c r="J742" s="7">
        <v>1</v>
      </c>
      <c r="K742" s="7">
        <f t="shared" ref="K742" si="1567">IF(B742=0,"",B742-B690)</f>
        <v>6586</v>
      </c>
      <c r="L742" s="7">
        <f t="shared" ref="L742" si="1568">IF(C742=0,"",C742-C690)</f>
        <v>6618</v>
      </c>
      <c r="M742" s="8">
        <f t="shared" ref="M742" si="1569">IF(K742="","",B742/B690-1)</f>
        <v>0.46146300448430488</v>
      </c>
      <c r="N742" s="8">
        <f t="shared" ref="N742" si="1570">IF(L742="","",C742/C690-1)</f>
        <v>0.46786850477200415</v>
      </c>
      <c r="O742" s="7">
        <f>4149+52</f>
        <v>4201</v>
      </c>
      <c r="Q742" s="3"/>
      <c r="R742" s="3"/>
      <c r="S742" s="6"/>
      <c r="T742" s="7"/>
      <c r="U742" s="7"/>
      <c r="V742" s="7"/>
      <c r="W742" s="7"/>
      <c r="X742" s="7"/>
      <c r="Y742" s="7"/>
      <c r="Z742" s="7"/>
      <c r="AA742" s="7"/>
      <c r="AB742" s="7"/>
      <c r="AC742" s="7"/>
      <c r="AD742" s="7"/>
      <c r="AE742" s="8"/>
      <c r="AF742" s="8"/>
      <c r="AG742" s="7"/>
    </row>
    <row r="743" spans="1:33" ht="19.7" customHeight="1" x14ac:dyDescent="0.25">
      <c r="A743" s="6">
        <v>45038</v>
      </c>
      <c r="B743" s="7">
        <f t="shared" ref="B743" si="1571">IF(SUM(C743:J743)="","",SUM(C743:J743))</f>
        <v>22034</v>
      </c>
      <c r="C743" s="7">
        <f>21898+58</f>
        <v>21956</v>
      </c>
      <c r="D743" s="7">
        <v>48</v>
      </c>
      <c r="E743" s="7">
        <v>30</v>
      </c>
      <c r="F743" s="7">
        <v>0</v>
      </c>
      <c r="G743" s="7">
        <v>0</v>
      </c>
      <c r="H743" s="7">
        <v>0</v>
      </c>
      <c r="I743" s="7">
        <v>0</v>
      </c>
      <c r="J743" s="7">
        <v>0</v>
      </c>
      <c r="K743" s="7">
        <f t="shared" ref="K743" si="1572">IF(B743=0,"",B743-B691)</f>
        <v>6513</v>
      </c>
      <c r="L743" s="7">
        <f t="shared" ref="L743" si="1573">IF(C743=0,"",C743-C691)</f>
        <v>6525</v>
      </c>
      <c r="M743" s="8">
        <f t="shared" ref="M743" si="1574">IF(K743="","",B743/B691-1)</f>
        <v>0.41962502416081437</v>
      </c>
      <c r="N743" s="8">
        <f t="shared" ref="N743" si="1575">IF(L743="","",C743/C691-1)</f>
        <v>0.42285010692761316</v>
      </c>
      <c r="O743" s="7">
        <f>4678+6</f>
        <v>4684</v>
      </c>
      <c r="Q743" s="3"/>
      <c r="R743" s="3"/>
      <c r="S743" s="6"/>
      <c r="T743" s="7"/>
      <c r="U743" s="7"/>
      <c r="V743" s="7"/>
      <c r="W743" s="7"/>
      <c r="X743" s="7"/>
      <c r="Y743" s="7"/>
      <c r="Z743" s="7"/>
      <c r="AA743" s="7"/>
      <c r="AB743" s="7"/>
      <c r="AC743" s="7"/>
      <c r="AD743" s="7"/>
      <c r="AE743" s="8"/>
      <c r="AF743" s="8"/>
      <c r="AG743" s="7"/>
    </row>
    <row r="744" spans="1:33" ht="19.7" customHeight="1" x14ac:dyDescent="0.25">
      <c r="A744" s="6">
        <v>45045</v>
      </c>
      <c r="B744" s="7">
        <f t="shared" ref="B744" si="1576">IF(SUM(C744:J744)="","",SUM(C744:J744))</f>
        <v>23457</v>
      </c>
      <c r="C744" s="7">
        <f>23248+121</f>
        <v>23369</v>
      </c>
      <c r="D744" s="7">
        <v>53</v>
      </c>
      <c r="E744" s="7">
        <v>35</v>
      </c>
      <c r="F744" s="7">
        <v>0</v>
      </c>
      <c r="G744" s="7">
        <v>0</v>
      </c>
      <c r="H744" s="7">
        <v>0</v>
      </c>
      <c r="I744" s="7">
        <v>0</v>
      </c>
      <c r="J744" s="7">
        <v>0</v>
      </c>
      <c r="K744" s="7">
        <f t="shared" ref="K744" si="1577">IF(B744=0,"",B744-B692)</f>
        <v>7288</v>
      </c>
      <c r="L744" s="7">
        <f t="shared" ref="L744" si="1578">IF(C744=0,"",C744-C692)</f>
        <v>7292</v>
      </c>
      <c r="M744" s="8">
        <f t="shared" ref="M744" si="1579">IF(K744="","",B744/B692-1)</f>
        <v>0.4507390685880388</v>
      </c>
      <c r="N744" s="8">
        <f t="shared" ref="N744" si="1580">IF(L744="","",C744/C692-1)</f>
        <v>0.45356720781240289</v>
      </c>
      <c r="O744" s="7">
        <f>4714+2</f>
        <v>4716</v>
      </c>
      <c r="Q744" s="3"/>
      <c r="R744" s="3"/>
      <c r="S744" s="6"/>
      <c r="T744" s="7"/>
      <c r="U744" s="7"/>
      <c r="V744" s="7"/>
      <c r="W744" s="7"/>
      <c r="X744" s="7"/>
      <c r="Y744" s="7"/>
      <c r="Z744" s="7"/>
      <c r="AA744" s="7"/>
      <c r="AB744" s="7"/>
      <c r="AC744" s="7"/>
      <c r="AD744" s="7"/>
      <c r="AE744" s="8"/>
      <c r="AF744" s="8"/>
      <c r="AG744" s="7"/>
    </row>
    <row r="745" spans="1:33" ht="19.7" customHeight="1" x14ac:dyDescent="0.25">
      <c r="A745" s="6">
        <v>45052</v>
      </c>
      <c r="B745" s="7">
        <f t="shared" ref="B745" si="1581">IF(SUM(C745:J745)="","",SUM(C745:J745))</f>
        <v>24660</v>
      </c>
      <c r="C745" s="7">
        <f>24530+63</f>
        <v>24593</v>
      </c>
      <c r="D745" s="7">
        <v>39</v>
      </c>
      <c r="E745" s="7">
        <v>27</v>
      </c>
      <c r="F745" s="7">
        <v>0</v>
      </c>
      <c r="G745" s="7">
        <v>0</v>
      </c>
      <c r="H745" s="7">
        <v>0</v>
      </c>
      <c r="I745" s="7">
        <v>0</v>
      </c>
      <c r="J745" s="7">
        <v>1</v>
      </c>
      <c r="K745" s="7">
        <f t="shared" ref="K745" si="1582">IF(B745=0,"",B745-B693)</f>
        <v>7493</v>
      </c>
      <c r="L745" s="7">
        <f t="shared" ref="L745" si="1583">IF(C745=0,"",C745-C693)</f>
        <v>7513</v>
      </c>
      <c r="M745" s="8">
        <f t="shared" ref="M745" si="1584">IF(K745="","",B745/B693-1)</f>
        <v>0.4364769616123958</v>
      </c>
      <c r="N745" s="8">
        <f t="shared" ref="N745" si="1585">IF(L745="","",C745/C693-1)</f>
        <v>0.43987119437939115</v>
      </c>
      <c r="O745" s="7">
        <f>4639+1</f>
        <v>4640</v>
      </c>
      <c r="Q745" s="3"/>
      <c r="R745" s="3"/>
      <c r="S745" s="6"/>
      <c r="T745" s="7"/>
      <c r="U745" s="7"/>
      <c r="V745" s="7"/>
      <c r="W745" s="7"/>
      <c r="X745" s="7"/>
      <c r="Y745" s="7"/>
      <c r="Z745" s="7"/>
      <c r="AA745" s="7"/>
      <c r="AB745" s="7"/>
      <c r="AC745" s="7"/>
      <c r="AD745" s="7"/>
      <c r="AE745" s="8"/>
      <c r="AF745" s="8"/>
      <c r="AG745" s="7"/>
    </row>
    <row r="746" spans="1:33" ht="19.7" customHeight="1" x14ac:dyDescent="0.25">
      <c r="A746" s="6">
        <v>45059</v>
      </c>
      <c r="B746" s="7">
        <f t="shared" ref="B746" si="1586">IF(SUM(C746:J746)="","",SUM(C746:J746))</f>
        <v>25458</v>
      </c>
      <c r="C746" s="7">
        <f>25283+105</f>
        <v>25388</v>
      </c>
      <c r="D746" s="7">
        <v>41</v>
      </c>
      <c r="E746" s="7">
        <v>27</v>
      </c>
      <c r="F746" s="7">
        <v>0</v>
      </c>
      <c r="G746" s="7">
        <v>0</v>
      </c>
      <c r="H746" s="7">
        <v>0</v>
      </c>
      <c r="I746" s="7">
        <v>0</v>
      </c>
      <c r="J746" s="7">
        <v>2</v>
      </c>
      <c r="K746" s="7">
        <f t="shared" ref="K746" si="1587">IF(B746=0,"",B746-B694)</f>
        <v>7699</v>
      </c>
      <c r="L746" s="7">
        <f t="shared" ref="L746" si="1588">IF(C746=0,"",C746-C694)</f>
        <v>7693</v>
      </c>
      <c r="M746" s="8">
        <f t="shared" ref="M746" si="1589">IF(K746="","",B746/B694-1)</f>
        <v>0.4335266625373051</v>
      </c>
      <c r="N746" s="8">
        <f t="shared" ref="N746" si="1590">IF(L746="","",C746/C694-1)</f>
        <v>0.4347555806725063</v>
      </c>
      <c r="O746" s="7">
        <f>3975+7</f>
        <v>3982</v>
      </c>
      <c r="Q746" s="3"/>
      <c r="R746" s="3"/>
      <c r="S746" s="6"/>
      <c r="T746" s="7"/>
      <c r="U746" s="7"/>
      <c r="V746" s="7"/>
      <c r="W746" s="7"/>
      <c r="X746" s="7"/>
      <c r="Y746" s="7"/>
      <c r="Z746" s="7"/>
      <c r="AA746" s="7"/>
      <c r="AB746" s="7"/>
      <c r="AC746" s="7"/>
      <c r="AD746" s="7"/>
      <c r="AE746" s="8"/>
      <c r="AF746" s="8"/>
      <c r="AG746" s="7"/>
    </row>
    <row r="747" spans="1:33" ht="19.7" customHeight="1" x14ac:dyDescent="0.25">
      <c r="A747" s="6">
        <v>45066</v>
      </c>
      <c r="B747" s="7">
        <f t="shared" ref="B747" si="1591">IF(SUM(C747:J747)="","",SUM(C747:J747))</f>
        <v>26283</v>
      </c>
      <c r="C747" s="7">
        <f>26159+52</f>
        <v>26211</v>
      </c>
      <c r="D747" s="7">
        <v>35</v>
      </c>
      <c r="E747" s="7">
        <v>37</v>
      </c>
      <c r="F747" s="7">
        <v>0</v>
      </c>
      <c r="G747" s="7">
        <v>0</v>
      </c>
      <c r="H747" s="7">
        <v>0</v>
      </c>
      <c r="I747" s="7">
        <v>0</v>
      </c>
      <c r="J747" s="7">
        <v>0</v>
      </c>
      <c r="K747" s="7">
        <f t="shared" ref="K747" si="1592">IF(B747=0,"",B747-B695)</f>
        <v>7939</v>
      </c>
      <c r="L747" s="7">
        <f t="shared" ref="L747" si="1593">IF(C747=0,"",C747-C695)</f>
        <v>7945</v>
      </c>
      <c r="M747" s="8">
        <f t="shared" ref="M747" si="1594">IF(K747="","",B747/B695-1)</f>
        <v>0.43278456170955071</v>
      </c>
      <c r="N747" s="8">
        <f t="shared" ref="N747" si="1595">IF(L747="","",C747/C695-1)</f>
        <v>0.43496112996824698</v>
      </c>
      <c r="O747" s="7">
        <f>4003+2</f>
        <v>4005</v>
      </c>
      <c r="Q747" s="3"/>
      <c r="R747" s="3"/>
      <c r="S747" s="6"/>
      <c r="T747" s="7"/>
      <c r="U747" s="7"/>
      <c r="V747" s="7"/>
      <c r="W747" s="7"/>
      <c r="X747" s="7"/>
      <c r="Y747" s="7"/>
      <c r="Z747" s="7"/>
      <c r="AA747" s="7"/>
      <c r="AB747" s="7"/>
      <c r="AC747" s="7"/>
      <c r="AD747" s="7"/>
      <c r="AE747" s="8"/>
      <c r="AF747" s="8"/>
      <c r="AG747" s="7"/>
    </row>
    <row r="748" spans="1:33" ht="19.7" customHeight="1" x14ac:dyDescent="0.25">
      <c r="A748" s="6">
        <v>45073</v>
      </c>
      <c r="B748" s="7">
        <f t="shared" ref="B748" si="1596">IF(SUM(C748:J748)="","",SUM(C748:J748))</f>
        <v>26790</v>
      </c>
      <c r="C748" s="7">
        <f>26664+68</f>
        <v>26732</v>
      </c>
      <c r="D748" s="7">
        <v>35</v>
      </c>
      <c r="E748" s="7">
        <v>23</v>
      </c>
      <c r="F748" s="7">
        <v>0</v>
      </c>
      <c r="G748" s="7">
        <v>0</v>
      </c>
      <c r="H748" s="7">
        <v>0</v>
      </c>
      <c r="I748" s="7">
        <v>0</v>
      </c>
      <c r="J748" s="7">
        <v>0</v>
      </c>
      <c r="K748" s="7">
        <f t="shared" ref="K748" si="1597">IF(B748=0,"",B748-B696)</f>
        <v>7947</v>
      </c>
      <c r="L748" s="7">
        <f t="shared" ref="L748" si="1598">IF(C748=0,"",C748-C696)</f>
        <v>7962</v>
      </c>
      <c r="M748" s="8">
        <f t="shared" ref="M748" si="1599">IF(K748="","",B748/B696-1)</f>
        <v>0.42174812927877725</v>
      </c>
      <c r="N748" s="8">
        <f t="shared" ref="N748" si="1600">IF(L748="","",C748/C696-1)</f>
        <v>0.42418753329781556</v>
      </c>
      <c r="O748" s="7">
        <f>4076+0</f>
        <v>4076</v>
      </c>
      <c r="Q748" s="3"/>
      <c r="R748" s="3"/>
      <c r="S748" s="6"/>
      <c r="T748" s="7"/>
      <c r="U748" s="7"/>
      <c r="V748" s="7"/>
      <c r="W748" s="7"/>
      <c r="X748" s="7"/>
      <c r="Y748" s="7"/>
      <c r="Z748" s="7"/>
      <c r="AA748" s="7"/>
      <c r="AB748" s="7"/>
      <c r="AC748" s="7"/>
      <c r="AD748" s="7"/>
      <c r="AE748" s="8"/>
      <c r="AF748" s="8"/>
      <c r="AG748" s="7"/>
    </row>
    <row r="749" spans="1:33" ht="19.7" customHeight="1" x14ac:dyDescent="0.25">
      <c r="A749" s="6">
        <v>45080</v>
      </c>
      <c r="B749" s="7">
        <f t="shared" ref="B749" si="1601">IF(SUM(C749:J749)="","",SUM(C749:J749))</f>
        <v>27257</v>
      </c>
      <c r="C749" s="7">
        <f>27178+8</f>
        <v>27186</v>
      </c>
      <c r="D749" s="7">
        <v>45</v>
      </c>
      <c r="E749" s="7">
        <v>26</v>
      </c>
      <c r="F749" s="7">
        <v>0</v>
      </c>
      <c r="G749" s="7">
        <v>0</v>
      </c>
      <c r="H749" s="7">
        <v>0</v>
      </c>
      <c r="I749" s="7">
        <v>0</v>
      </c>
      <c r="J749" s="7">
        <v>0</v>
      </c>
      <c r="K749" s="7">
        <f t="shared" ref="K749" si="1602">IF(B749=0,"",B749-B697)</f>
        <v>7595</v>
      </c>
      <c r="L749" s="7">
        <f t="shared" ref="L749" si="1603">IF(C749=0,"",C749-C697)</f>
        <v>7624</v>
      </c>
      <c r="M749" s="8">
        <f t="shared" ref="M749" si="1604">IF(K749="","",B749/B697-1)</f>
        <v>0.38627809988810902</v>
      </c>
      <c r="N749" s="8">
        <f t="shared" ref="N749" si="1605">IF(L749="","",C749/C697-1)</f>
        <v>0.38973520089970348</v>
      </c>
      <c r="O749" s="7">
        <f>4002+0</f>
        <v>4002</v>
      </c>
      <c r="Q749" s="3"/>
      <c r="R749" s="3"/>
      <c r="S749" s="6"/>
      <c r="T749" s="7"/>
      <c r="U749" s="7"/>
      <c r="V749" s="7"/>
      <c r="W749" s="7"/>
      <c r="X749" s="7"/>
      <c r="Y749" s="7"/>
      <c r="Z749" s="7"/>
      <c r="AA749" s="7"/>
      <c r="AB749" s="7"/>
      <c r="AC749" s="7"/>
      <c r="AD749" s="7"/>
      <c r="AE749" s="8"/>
      <c r="AF749" s="8"/>
      <c r="AG749" s="7"/>
    </row>
    <row r="750" spans="1:33" ht="19.7" customHeight="1" x14ac:dyDescent="0.25">
      <c r="A750" s="6">
        <v>45087</v>
      </c>
      <c r="B750" s="7">
        <f t="shared" ref="B750" si="1606">IF(SUM(C750:J750)="","",SUM(C750:J750))</f>
        <v>27162</v>
      </c>
      <c r="C750" s="7">
        <f>27001+76</f>
        <v>27077</v>
      </c>
      <c r="D750" s="7">
        <v>56</v>
      </c>
      <c r="E750" s="7">
        <v>29</v>
      </c>
      <c r="F750" s="7">
        <v>0</v>
      </c>
      <c r="G750" s="7">
        <v>0</v>
      </c>
      <c r="H750" s="7">
        <v>0</v>
      </c>
      <c r="I750" s="7">
        <v>0</v>
      </c>
      <c r="J750" s="7">
        <v>0</v>
      </c>
      <c r="K750" s="7">
        <f t="shared" ref="K750" si="1607">IF(B750=0,"",B750-B698)</f>
        <v>7102</v>
      </c>
      <c r="L750" s="7">
        <f t="shared" ref="L750" si="1608">IF(C750=0,"",C750-C698)</f>
        <v>7110</v>
      </c>
      <c r="M750" s="8">
        <f t="shared" ref="M750" si="1609">IF(K750="","",B750/B698-1)</f>
        <v>0.35403788634097699</v>
      </c>
      <c r="N750" s="8">
        <f t="shared" ref="N750" si="1610">IF(L750="","",C750/C698-1)</f>
        <v>0.35608754444833979</v>
      </c>
      <c r="O750" s="7">
        <f>4281+0</f>
        <v>4281</v>
      </c>
      <c r="Q750" s="3"/>
      <c r="R750" s="3"/>
      <c r="S750" s="6"/>
      <c r="T750" s="7"/>
      <c r="U750" s="7"/>
      <c r="V750" s="7"/>
      <c r="W750" s="7"/>
      <c r="X750" s="7"/>
      <c r="Y750" s="7"/>
      <c r="Z750" s="7"/>
      <c r="AA750" s="7"/>
      <c r="AB750" s="7"/>
      <c r="AC750" s="7"/>
      <c r="AD750" s="7"/>
      <c r="AE750" s="8"/>
      <c r="AF750" s="8"/>
      <c r="AG750" s="7"/>
    </row>
    <row r="751" spans="1:33" ht="19.7" customHeight="1" x14ac:dyDescent="0.25">
      <c r="A751" s="6">
        <v>45094</v>
      </c>
      <c r="B751" s="7">
        <f t="shared" ref="B751" si="1611">IF(SUM(C751:J751)="","",SUM(C751:J751))</f>
        <v>28616</v>
      </c>
      <c r="C751" s="7">
        <f>28481+38</f>
        <v>28519</v>
      </c>
      <c r="D751" s="7">
        <v>70</v>
      </c>
      <c r="E751" s="7">
        <v>27</v>
      </c>
      <c r="F751" s="7">
        <v>0</v>
      </c>
      <c r="G751" s="7">
        <v>0</v>
      </c>
      <c r="H751" s="7">
        <v>0</v>
      </c>
      <c r="I751" s="7">
        <v>0</v>
      </c>
      <c r="J751" s="7">
        <v>0</v>
      </c>
      <c r="K751" s="7">
        <f t="shared" ref="K751" si="1612">IF(B751=0,"",B751-B699)</f>
        <v>7796</v>
      </c>
      <c r="L751" s="7">
        <f t="shared" ref="L751" si="1613">IF(C751=0,"",C751-C699)</f>
        <v>7792</v>
      </c>
      <c r="M751" s="8">
        <f t="shared" ref="M751" si="1614">IF(K751="","",B751/B699-1)</f>
        <v>0.37444764649375606</v>
      </c>
      <c r="N751" s="8">
        <f t="shared" ref="N751" si="1615">IF(L751="","",C751/C699-1)</f>
        <v>0.37593477107154927</v>
      </c>
      <c r="O751" s="7">
        <f>3971+1</f>
        <v>3972</v>
      </c>
      <c r="Q751" s="3"/>
      <c r="R751" s="3"/>
      <c r="S751" s="6"/>
      <c r="T751" s="7"/>
      <c r="U751" s="7"/>
      <c r="V751" s="7"/>
      <c r="W751" s="7"/>
      <c r="X751" s="7"/>
      <c r="Y751" s="7"/>
      <c r="Z751" s="7"/>
      <c r="AA751" s="7"/>
      <c r="AB751" s="7"/>
      <c r="AC751" s="7"/>
      <c r="AD751" s="7"/>
      <c r="AE751" s="8"/>
      <c r="AF751" s="8"/>
      <c r="AG751" s="7"/>
    </row>
    <row r="752" spans="1:33" ht="19.7" customHeight="1" x14ac:dyDescent="0.25">
      <c r="A752" s="6">
        <v>45101</v>
      </c>
      <c r="B752" s="7">
        <f t="shared" ref="B752" si="1616">IF(SUM(C752:J752)="","",SUM(C752:J752))</f>
        <v>28823</v>
      </c>
      <c r="C752" s="7">
        <f>28641+76</f>
        <v>28717</v>
      </c>
      <c r="D752" s="7">
        <v>78</v>
      </c>
      <c r="E752" s="7">
        <v>28</v>
      </c>
      <c r="F752" s="7">
        <v>0</v>
      </c>
      <c r="G752" s="7">
        <v>0</v>
      </c>
      <c r="H752" s="7">
        <v>0</v>
      </c>
      <c r="I752" s="7">
        <v>0</v>
      </c>
      <c r="J752" s="7">
        <v>0</v>
      </c>
      <c r="K752" s="7">
        <f t="shared" ref="K752" si="1617">IF(B752=0,"",B752-B700)</f>
        <v>7858</v>
      </c>
      <c r="L752" s="7">
        <f t="shared" ref="L752" si="1618">IF(C752=0,"",C752-C700)</f>
        <v>7880</v>
      </c>
      <c r="M752" s="8">
        <f t="shared" ref="M752" si="1619">IF(K752="","",B752/B700-1)</f>
        <v>0.3748151681373717</v>
      </c>
      <c r="N752" s="8">
        <f t="shared" ref="N752" si="1620">IF(L752="","",C752/C700-1)</f>
        <v>0.37817344147430054</v>
      </c>
      <c r="O752" s="7">
        <f>3642+3</f>
        <v>3645</v>
      </c>
      <c r="Q752" s="3"/>
      <c r="R752" s="3"/>
      <c r="S752" s="6"/>
      <c r="T752" s="7"/>
      <c r="U752" s="7"/>
      <c r="V752" s="7"/>
      <c r="W752" s="7"/>
      <c r="X752" s="7"/>
      <c r="Y752" s="7"/>
      <c r="Z752" s="7"/>
      <c r="AA752" s="7"/>
      <c r="AB752" s="7"/>
      <c r="AC752" s="7"/>
      <c r="AD752" s="7"/>
      <c r="AE752" s="8"/>
      <c r="AF752" s="8"/>
      <c r="AG752" s="7"/>
    </row>
    <row r="753" spans="1:33" ht="19.7" customHeight="1" x14ac:dyDescent="0.25">
      <c r="A753" s="6">
        <v>45108</v>
      </c>
      <c r="B753" s="7">
        <f t="shared" ref="B753" si="1621">IF(SUM(C753:J753)="","",SUM(C753:J753))</f>
        <v>28987</v>
      </c>
      <c r="C753" s="7">
        <f>28850+44</f>
        <v>28894</v>
      </c>
      <c r="D753" s="7">
        <v>71</v>
      </c>
      <c r="E753" s="7">
        <v>22</v>
      </c>
      <c r="F753" s="7">
        <v>0</v>
      </c>
      <c r="G753" s="7">
        <v>0</v>
      </c>
      <c r="H753" s="7">
        <v>0</v>
      </c>
      <c r="I753" s="7">
        <v>0</v>
      </c>
      <c r="J753" s="7">
        <v>0</v>
      </c>
      <c r="K753" s="7">
        <f t="shared" ref="K753" si="1622">IF(B753=0,"",B753-B701)</f>
        <v>7801</v>
      </c>
      <c r="L753" s="7">
        <f t="shared" ref="L753" si="1623">IF(C753=0,"",C753-C701)</f>
        <v>7804</v>
      </c>
      <c r="M753" s="8">
        <f t="shared" ref="M753" si="1624">IF(K753="","",B753/B701-1)</f>
        <v>0.36821485886906458</v>
      </c>
      <c r="N753" s="8">
        <f t="shared" ref="N753" si="1625">IF(L753="","",C753/C701-1)</f>
        <v>0.37003319108582255</v>
      </c>
      <c r="O753" s="7">
        <f>3664+1</f>
        <v>3665</v>
      </c>
      <c r="Q753" s="3"/>
      <c r="R753" s="3"/>
      <c r="S753" s="6"/>
      <c r="T753" s="7"/>
      <c r="U753" s="7"/>
      <c r="V753" s="7"/>
      <c r="W753" s="7"/>
      <c r="X753" s="7"/>
      <c r="Y753" s="7"/>
      <c r="Z753" s="7"/>
      <c r="AA753" s="7"/>
      <c r="AB753" s="7"/>
      <c r="AC753" s="7"/>
      <c r="AD753" s="7"/>
      <c r="AE753" s="8"/>
      <c r="AF753" s="8"/>
      <c r="AG753" s="7"/>
    </row>
    <row r="754" spans="1:33" ht="19.7" customHeight="1" x14ac:dyDescent="0.25">
      <c r="A754" s="6">
        <v>45115</v>
      </c>
      <c r="B754" s="7">
        <f t="shared" ref="B754" si="1626">IF(SUM(C754:J754)="","",SUM(C754:J754))</f>
        <v>28784</v>
      </c>
      <c r="C754" s="7">
        <f>28569+91</f>
        <v>28660</v>
      </c>
      <c r="D754" s="7">
        <v>94</v>
      </c>
      <c r="E754" s="7">
        <v>30</v>
      </c>
      <c r="F754" s="7">
        <v>0</v>
      </c>
      <c r="G754" s="7">
        <v>0</v>
      </c>
      <c r="H754" s="7">
        <v>0</v>
      </c>
      <c r="I754" s="7">
        <v>0</v>
      </c>
      <c r="J754" s="7">
        <v>0</v>
      </c>
      <c r="K754" s="7">
        <f t="shared" ref="K754" si="1627">IF(B754=0,"",B754-B702)</f>
        <v>7435</v>
      </c>
      <c r="L754" s="7">
        <f t="shared" ref="L754" si="1628">IF(C754=0,"",C754-C702)</f>
        <v>7415</v>
      </c>
      <c r="M754" s="8">
        <f t="shared" ref="M754" si="1629">IF(K754="","",B754/B702-1)</f>
        <v>0.34825987165675198</v>
      </c>
      <c r="N754" s="8">
        <f t="shared" ref="N754" si="1630">IF(L754="","",C754/C702-1)</f>
        <v>0.34902329959990586</v>
      </c>
      <c r="O754" s="7">
        <f>4782+1</f>
        <v>4783</v>
      </c>
      <c r="Q754" s="3"/>
      <c r="R754" s="3"/>
      <c r="S754" s="6"/>
      <c r="T754" s="7"/>
      <c r="U754" s="7"/>
      <c r="V754" s="7"/>
      <c r="W754" s="7"/>
      <c r="X754" s="7"/>
      <c r="Y754" s="7"/>
      <c r="Z754" s="7"/>
      <c r="AA754" s="7"/>
      <c r="AB754" s="7"/>
      <c r="AC754" s="7"/>
      <c r="AD754" s="7"/>
      <c r="AE754" s="8"/>
      <c r="AF754" s="8"/>
      <c r="AG754" s="7"/>
    </row>
    <row r="755" spans="1:33" ht="19.7" customHeight="1" x14ac:dyDescent="0.25">
      <c r="A755" s="6">
        <v>45122</v>
      </c>
      <c r="B755" s="7">
        <f t="shared" ref="B755" si="1631">IF(SUM(C755:J755)="","",SUM(C755:J755))</f>
        <v>30295</v>
      </c>
      <c r="C755" s="7">
        <f>30119+29</f>
        <v>30148</v>
      </c>
      <c r="D755" s="7">
        <v>108</v>
      </c>
      <c r="E755" s="7">
        <v>39</v>
      </c>
      <c r="F755" s="7">
        <v>0</v>
      </c>
      <c r="G755" s="7">
        <v>0</v>
      </c>
      <c r="H755" s="7">
        <v>0</v>
      </c>
      <c r="I755" s="7">
        <v>0</v>
      </c>
      <c r="J755" s="7">
        <v>0</v>
      </c>
      <c r="K755" s="7">
        <f t="shared" ref="K755" si="1632">IF(B755=0,"",B755-B703)</f>
        <v>7423</v>
      </c>
      <c r="L755" s="7">
        <f t="shared" ref="L755" si="1633">IF(C755=0,"",C755-C703)</f>
        <v>7384</v>
      </c>
      <c r="M755" s="8">
        <f t="shared" ref="M755" si="1634">IF(K755="","",B755/B703-1)</f>
        <v>0.32454529555788736</v>
      </c>
      <c r="N755" s="8">
        <f t="shared" ref="N755" si="1635">IF(L755="","",C755/C703-1)</f>
        <v>0.32437181514672297</v>
      </c>
      <c r="O755" s="7">
        <f>4801+0</f>
        <v>4801</v>
      </c>
      <c r="Q755" s="3"/>
      <c r="R755" s="3"/>
      <c r="S755" s="6"/>
      <c r="T755" s="7"/>
      <c r="U755" s="7"/>
      <c r="V755" s="7"/>
      <c r="W755" s="7"/>
      <c r="X755" s="7"/>
      <c r="Y755" s="7"/>
      <c r="Z755" s="7"/>
      <c r="AA755" s="7"/>
      <c r="AB755" s="7"/>
      <c r="AC755" s="7"/>
      <c r="AD755" s="7"/>
      <c r="AE755" s="8"/>
      <c r="AF755" s="8"/>
      <c r="AG755" s="7"/>
    </row>
    <row r="756" spans="1:33" ht="19.7" customHeight="1" x14ac:dyDescent="0.25">
      <c r="A756" s="6">
        <v>45129</v>
      </c>
      <c r="B756" s="7">
        <f t="shared" ref="B756" si="1636">IF(SUM(C756:J756)="","",SUM(C756:J756))</f>
        <v>31164</v>
      </c>
      <c r="C756" s="7">
        <f>30967+48</f>
        <v>31015</v>
      </c>
      <c r="D756" s="7">
        <v>105</v>
      </c>
      <c r="E756" s="7">
        <v>44</v>
      </c>
      <c r="F756" s="7">
        <v>0</v>
      </c>
      <c r="G756" s="7">
        <v>0</v>
      </c>
      <c r="H756" s="7">
        <v>0</v>
      </c>
      <c r="I756" s="7">
        <v>0</v>
      </c>
      <c r="J756" s="7">
        <v>0</v>
      </c>
      <c r="K756" s="7">
        <f t="shared" ref="K756" si="1637">IF(B756=0,"",B756-B704)</f>
        <v>7215</v>
      </c>
      <c r="L756" s="7">
        <f t="shared" ref="L756" si="1638">IF(C756=0,"",C756-C704)</f>
        <v>7174</v>
      </c>
      <c r="M756" s="8">
        <f t="shared" ref="M756" si="1639">IF(K756="","",B756/B704-1)</f>
        <v>0.30126518852561701</v>
      </c>
      <c r="N756" s="8">
        <f t="shared" ref="N756" si="1640">IF(L756="","",C756/C704-1)</f>
        <v>0.30091019671993635</v>
      </c>
      <c r="O756" s="7">
        <f>4304+2</f>
        <v>4306</v>
      </c>
      <c r="Q756" s="3"/>
      <c r="R756" s="3"/>
      <c r="S756" s="6"/>
      <c r="T756" s="7"/>
      <c r="U756" s="7"/>
      <c r="V756" s="7"/>
      <c r="W756" s="7"/>
      <c r="X756" s="7"/>
      <c r="Y756" s="7"/>
      <c r="Z756" s="7"/>
      <c r="AA756" s="7"/>
      <c r="AB756" s="7"/>
      <c r="AC756" s="7"/>
      <c r="AD756" s="7"/>
      <c r="AE756" s="8"/>
      <c r="AF756" s="8"/>
      <c r="AG756" s="7"/>
    </row>
    <row r="757" spans="1:33" ht="19.7" customHeight="1" x14ac:dyDescent="0.25">
      <c r="A757" s="6">
        <v>45136</v>
      </c>
      <c r="B757" s="7">
        <f t="shared" ref="B757" si="1641">IF(SUM(C757:J757)="","",SUM(C757:J757))</f>
        <v>31350</v>
      </c>
      <c r="C757" s="7">
        <f>31164+36</f>
        <v>31200</v>
      </c>
      <c r="D757" s="7">
        <v>111</v>
      </c>
      <c r="E757" s="7">
        <v>39</v>
      </c>
      <c r="F757" s="7">
        <v>0</v>
      </c>
      <c r="G757" s="7">
        <v>0</v>
      </c>
      <c r="H757" s="7">
        <v>0</v>
      </c>
      <c r="I757" s="7">
        <v>0</v>
      </c>
      <c r="J757" s="7">
        <v>0</v>
      </c>
      <c r="K757" s="7">
        <f t="shared" ref="K757" si="1642">IF(B757=0,"",B757-B705)</f>
        <v>7058</v>
      </c>
      <c r="L757" s="7">
        <f t="shared" ref="L757" si="1643">IF(C757=0,"",C757-C705)</f>
        <v>7030</v>
      </c>
      <c r="M757" s="8">
        <f t="shared" ref="M757" si="1644">IF(K757="","",B757/B705-1)</f>
        <v>0.29054832866787428</v>
      </c>
      <c r="N757" s="8">
        <f t="shared" ref="N757" si="1645">IF(L757="","",C757/C705-1)</f>
        <v>0.29085643359536606</v>
      </c>
      <c r="O757" s="7">
        <f>3932+1</f>
        <v>3933</v>
      </c>
      <c r="Q757" s="3"/>
      <c r="R757" s="3"/>
      <c r="S757" s="6"/>
      <c r="T757" s="7"/>
      <c r="U757" s="7"/>
      <c r="V757" s="7"/>
      <c r="W757" s="7"/>
      <c r="X757" s="7"/>
      <c r="Y757" s="7"/>
      <c r="Z757" s="7"/>
      <c r="AA757" s="7"/>
      <c r="AB757" s="7"/>
      <c r="AC757" s="7"/>
      <c r="AD757" s="7"/>
      <c r="AE757" s="8"/>
      <c r="AF757" s="8"/>
      <c r="AG757" s="7"/>
    </row>
    <row r="758" spans="1:33" ht="19.7" customHeight="1" x14ac:dyDescent="0.25">
      <c r="A758" s="6">
        <v>45143</v>
      </c>
      <c r="B758" s="7">
        <f t="shared" ref="B758" si="1646">IF(SUM(C758:J758)="","",SUM(C758:J758))</f>
        <v>31244</v>
      </c>
      <c r="C758" s="7">
        <f>31074+27</f>
        <v>31101</v>
      </c>
      <c r="D758" s="7">
        <v>98</v>
      </c>
      <c r="E758" s="7">
        <v>45</v>
      </c>
      <c r="F758" s="7">
        <v>0</v>
      </c>
      <c r="G758" s="7">
        <v>0</v>
      </c>
      <c r="H758" s="7">
        <v>0</v>
      </c>
      <c r="I758" s="7">
        <v>0</v>
      </c>
      <c r="J758" s="7">
        <v>0</v>
      </c>
      <c r="K758" s="7">
        <f t="shared" ref="K758" si="1647">IF(B758=0,"",B758-B706)</f>
        <v>6792</v>
      </c>
      <c r="L758" s="7">
        <f t="shared" ref="L758" si="1648">IF(C758=0,"",C758-C706)</f>
        <v>6775</v>
      </c>
      <c r="M758" s="8">
        <f t="shared" ref="M758" si="1649">IF(K758="","",B758/B706-1)</f>
        <v>0.27776868967773605</v>
      </c>
      <c r="N758" s="8">
        <f t="shared" ref="N758" si="1650">IF(L758="","",C758/C706-1)</f>
        <v>0.27850859163035446</v>
      </c>
      <c r="O758" s="7">
        <f>3859+4</f>
        <v>3863</v>
      </c>
      <c r="Q758" s="3"/>
      <c r="R758" s="3"/>
      <c r="S758" s="6"/>
      <c r="T758" s="7"/>
      <c r="U758" s="7"/>
      <c r="V758" s="7"/>
      <c r="W758" s="7"/>
      <c r="X758" s="7"/>
      <c r="Y758" s="7"/>
      <c r="Z758" s="7"/>
      <c r="AA758" s="7"/>
      <c r="AB758" s="7"/>
      <c r="AC758" s="7"/>
      <c r="AD758" s="7"/>
      <c r="AE758" s="8"/>
      <c r="AF758" s="8"/>
      <c r="AG758" s="7"/>
    </row>
    <row r="759" spans="1:33" ht="19.7" customHeight="1" x14ac:dyDescent="0.25">
      <c r="A759" s="6">
        <v>45150</v>
      </c>
      <c r="B759" s="7">
        <f t="shared" ref="B759" si="1651">IF(SUM(C759:J759)="","",SUM(C759:J759))</f>
        <v>30963</v>
      </c>
      <c r="C759" s="7">
        <f>30846+19</f>
        <v>30865</v>
      </c>
      <c r="D759" s="7">
        <v>64</v>
      </c>
      <c r="E759" s="7">
        <v>34</v>
      </c>
      <c r="F759" s="7">
        <v>0</v>
      </c>
      <c r="G759" s="7">
        <v>0</v>
      </c>
      <c r="H759" s="7">
        <v>0</v>
      </c>
      <c r="I759" s="7">
        <v>0</v>
      </c>
      <c r="J759" s="7">
        <v>0</v>
      </c>
      <c r="K759" s="7">
        <f t="shared" ref="K759" si="1652">IF(B759=0,"",B759-B707)</f>
        <v>7220</v>
      </c>
      <c r="L759" s="7">
        <f t="shared" ref="L759" si="1653">IF(C759=0,"",C759-C707)</f>
        <v>7205</v>
      </c>
      <c r="M759" s="8">
        <f t="shared" ref="M759" si="1654">IF(K759="","",B759/B707-1)</f>
        <v>0.30408962641620696</v>
      </c>
      <c r="N759" s="8">
        <f t="shared" ref="N759" si="1655">IF(L759="","",C759/C707-1)</f>
        <v>0.30452240067624681</v>
      </c>
      <c r="O759" s="7">
        <f>3686+5</f>
        <v>3691</v>
      </c>
      <c r="Q759" s="3"/>
      <c r="R759" s="3"/>
      <c r="S759" s="6"/>
      <c r="T759" s="7"/>
      <c r="U759" s="7"/>
      <c r="V759" s="7"/>
      <c r="W759" s="7"/>
      <c r="X759" s="7"/>
      <c r="Y759" s="7"/>
      <c r="Z759" s="7"/>
      <c r="AA759" s="7"/>
      <c r="AB759" s="7"/>
      <c r="AC759" s="7"/>
      <c r="AD759" s="7"/>
      <c r="AE759" s="8"/>
      <c r="AF759" s="8"/>
      <c r="AG759" s="7"/>
    </row>
    <row r="760" spans="1:33" ht="19.7" customHeight="1" x14ac:dyDescent="0.25">
      <c r="A760" s="6">
        <v>45157</v>
      </c>
      <c r="B760" s="7">
        <f t="shared" ref="B760" si="1656">IF(SUM(C760:J760)="","",SUM(C760:J760))</f>
        <v>30799</v>
      </c>
      <c r="C760" s="7">
        <f>30646+37</f>
        <v>30683</v>
      </c>
      <c r="D760" s="7">
        <v>73</v>
      </c>
      <c r="E760" s="7">
        <v>42</v>
      </c>
      <c r="F760" s="7">
        <v>0</v>
      </c>
      <c r="G760" s="7">
        <v>0</v>
      </c>
      <c r="H760" s="7">
        <v>0</v>
      </c>
      <c r="I760" s="7">
        <v>0</v>
      </c>
      <c r="J760" s="7">
        <v>1</v>
      </c>
      <c r="K760" s="7">
        <f t="shared" ref="K760" si="1657">IF(B760=0,"",B760-B708)</f>
        <v>6798</v>
      </c>
      <c r="L760" s="7">
        <f t="shared" ref="L760" si="1658">IF(C760=0,"",C760-C708)</f>
        <v>6822</v>
      </c>
      <c r="M760" s="8">
        <f t="shared" ref="M760" si="1659">IF(K760="","",B760/B708-1)</f>
        <v>0.28323819840839959</v>
      </c>
      <c r="N760" s="8">
        <f t="shared" ref="N760" si="1660">IF(L760="","",C760/C708-1)</f>
        <v>0.28590587150580449</v>
      </c>
      <c r="O760" s="7">
        <f>3623+4</f>
        <v>3627</v>
      </c>
      <c r="Q760" s="3"/>
      <c r="R760" s="3"/>
      <c r="S760" s="6"/>
      <c r="T760" s="7"/>
      <c r="U760" s="7"/>
      <c r="V760" s="7"/>
      <c r="W760" s="7"/>
      <c r="X760" s="7"/>
      <c r="Y760" s="7"/>
      <c r="Z760" s="7"/>
      <c r="AA760" s="7"/>
      <c r="AB760" s="7"/>
      <c r="AC760" s="7"/>
      <c r="AD760" s="7"/>
      <c r="AE760" s="8"/>
      <c r="AF760" s="8"/>
      <c r="AG760" s="7"/>
    </row>
    <row r="761" spans="1:33" ht="19.7" customHeight="1" x14ac:dyDescent="0.25">
      <c r="A761" s="6">
        <v>45164</v>
      </c>
      <c r="B761" s="7">
        <f t="shared" ref="B761" si="1661">IF(SUM(C761:J761)="","",SUM(C761:J761))</f>
        <v>30245</v>
      </c>
      <c r="C761" s="7">
        <f>30127+33</f>
        <v>30160</v>
      </c>
      <c r="D761" s="7">
        <v>48</v>
      </c>
      <c r="E761" s="7">
        <v>37</v>
      </c>
      <c r="F761" s="7">
        <v>0</v>
      </c>
      <c r="G761" s="7">
        <v>0</v>
      </c>
      <c r="H761" s="7">
        <v>0</v>
      </c>
      <c r="I761" s="7">
        <v>0</v>
      </c>
      <c r="J761" s="7">
        <v>0</v>
      </c>
      <c r="K761" s="7">
        <f t="shared" ref="K761" si="1662">IF(B761=0,"",B761-B709)</f>
        <v>6864</v>
      </c>
      <c r="L761" s="7">
        <f t="shared" ref="L761" si="1663">IF(C761=0,"",C761-C709)</f>
        <v>6846</v>
      </c>
      <c r="M761" s="8">
        <f t="shared" ref="M761" si="1664">IF(K761="","",B761/B709-1)</f>
        <v>0.2935717035199521</v>
      </c>
      <c r="N761" s="8">
        <f t="shared" ref="N761" si="1665">IF(L761="","",C761/C709-1)</f>
        <v>0.29364330445226039</v>
      </c>
      <c r="O761" s="7">
        <f>3501+3</f>
        <v>3504</v>
      </c>
      <c r="Q761" s="3"/>
      <c r="R761" s="3"/>
      <c r="S761" s="6"/>
      <c r="T761" s="7"/>
      <c r="U761" s="7"/>
      <c r="V761" s="7"/>
      <c r="W761" s="7"/>
      <c r="X761" s="7"/>
      <c r="Y761" s="7"/>
      <c r="Z761" s="7"/>
      <c r="AA761" s="7"/>
      <c r="AB761" s="7"/>
      <c r="AC761" s="7"/>
      <c r="AD761" s="7"/>
      <c r="AE761" s="8"/>
      <c r="AF761" s="8"/>
      <c r="AG761" s="7"/>
    </row>
    <row r="762" spans="1:33" ht="19.7" customHeight="1" x14ac:dyDescent="0.25">
      <c r="A762" s="6">
        <v>45171</v>
      </c>
      <c r="B762" s="7">
        <f t="shared" ref="B762" si="1666">IF(SUM(C762:J762)="","",SUM(C762:J762))</f>
        <v>29892</v>
      </c>
      <c r="C762" s="7">
        <f>29756+46</f>
        <v>29802</v>
      </c>
      <c r="D762" s="7">
        <v>52</v>
      </c>
      <c r="E762" s="7">
        <v>38</v>
      </c>
      <c r="F762" s="7">
        <v>0</v>
      </c>
      <c r="G762" s="7">
        <v>0</v>
      </c>
      <c r="H762" s="7">
        <v>0</v>
      </c>
      <c r="I762" s="7">
        <v>0</v>
      </c>
      <c r="J762" s="7">
        <v>0</v>
      </c>
      <c r="K762" s="7">
        <f t="shared" ref="K762" si="1667">IF(B762=0,"",B762-B710)</f>
        <v>6686</v>
      </c>
      <c r="L762" s="7">
        <f t="shared" ref="L762" si="1668">IF(C762=0,"",C762-C710)</f>
        <v>6681</v>
      </c>
      <c r="M762" s="8">
        <f t="shared" ref="M762" si="1669">IF(K762="","",B762/B710-1)</f>
        <v>0.28811514263552529</v>
      </c>
      <c r="N762" s="8">
        <f t="shared" ref="N762" si="1670">IF(L762="","",C762/C710-1)</f>
        <v>0.28895809004800821</v>
      </c>
      <c r="O762" s="7">
        <f>3372+5</f>
        <v>3377</v>
      </c>
      <c r="Q762" s="3"/>
      <c r="R762" s="3"/>
      <c r="S762" s="6"/>
      <c r="T762" s="7"/>
      <c r="U762" s="7"/>
      <c r="V762" s="7"/>
      <c r="W762" s="7"/>
      <c r="X762" s="7"/>
      <c r="Y762" s="7"/>
      <c r="Z762" s="7"/>
      <c r="AA762" s="7"/>
      <c r="AB762" s="7"/>
      <c r="AC762" s="7"/>
      <c r="AD762" s="7"/>
      <c r="AE762" s="8"/>
      <c r="AF762" s="8"/>
      <c r="AG762" s="7"/>
    </row>
    <row r="763" spans="1:33" ht="19.7" customHeight="1" x14ac:dyDescent="0.25">
      <c r="A763" s="6">
        <v>45178</v>
      </c>
      <c r="B763" s="7">
        <f t="shared" ref="B763" si="1671">IF(SUM(C763:J763)="","",SUM(C763:J763))</f>
        <v>28939</v>
      </c>
      <c r="C763" s="7">
        <f>28836+34</f>
        <v>28870</v>
      </c>
      <c r="D763" s="7">
        <v>38</v>
      </c>
      <c r="E763" s="7">
        <v>30</v>
      </c>
      <c r="F763" s="7">
        <v>0</v>
      </c>
      <c r="G763" s="7">
        <v>0</v>
      </c>
      <c r="H763" s="7">
        <v>0</v>
      </c>
      <c r="I763" s="7">
        <v>0</v>
      </c>
      <c r="J763" s="7">
        <v>1</v>
      </c>
      <c r="K763" s="7">
        <f t="shared" ref="K763" si="1672">IF(B763=0,"",B763-B711)</f>
        <v>6473</v>
      </c>
      <c r="L763" s="7">
        <f t="shared" ref="L763" si="1673">IF(C763=0,"",C763-C711)</f>
        <v>6479</v>
      </c>
      <c r="M763" s="8">
        <f t="shared" ref="M763" si="1674">IF(K763="","",B763/B711-1)</f>
        <v>0.28812427668476803</v>
      </c>
      <c r="N763" s="8">
        <f t="shared" ref="N763" si="1675">IF(L763="","",C763/C711-1)</f>
        <v>0.28935733107051931</v>
      </c>
      <c r="O763" s="7">
        <f>3025+9</f>
        <v>3034</v>
      </c>
      <c r="Q763" s="3"/>
      <c r="R763" s="3"/>
      <c r="S763" s="6"/>
      <c r="T763" s="7"/>
      <c r="U763" s="7"/>
      <c r="V763" s="7"/>
      <c r="W763" s="7"/>
      <c r="X763" s="7"/>
      <c r="Y763" s="7"/>
      <c r="Z763" s="7"/>
      <c r="AA763" s="7"/>
      <c r="AB763" s="7"/>
      <c r="AC763" s="7"/>
      <c r="AD763" s="7"/>
      <c r="AE763" s="8"/>
      <c r="AF763" s="8"/>
      <c r="AG763" s="7"/>
    </row>
    <row r="764" spans="1:33" ht="19.7" customHeight="1" x14ac:dyDescent="0.25">
      <c r="A764" s="6">
        <v>45185</v>
      </c>
      <c r="B764" s="7">
        <f t="shared" ref="B764" si="1676">IF(SUM(C764:J764)="","",SUM(C764:J764))</f>
        <v>28554</v>
      </c>
      <c r="C764" s="7">
        <f>28439+47</f>
        <v>28486</v>
      </c>
      <c r="D764" s="7">
        <v>43</v>
      </c>
      <c r="E764" s="7">
        <v>25</v>
      </c>
      <c r="F764" s="7">
        <v>0</v>
      </c>
      <c r="G764" s="7">
        <v>0</v>
      </c>
      <c r="H764" s="7">
        <v>0</v>
      </c>
      <c r="I764" s="7">
        <v>0</v>
      </c>
      <c r="J764" s="7">
        <v>0</v>
      </c>
      <c r="K764" s="7">
        <f t="shared" ref="K764" si="1677">IF(B764=0,"",B764-B712)</f>
        <v>6350</v>
      </c>
      <c r="L764" s="7">
        <f t="shared" ref="L764" si="1678">IF(C764=0,"",C764-C712)</f>
        <v>6364</v>
      </c>
      <c r="M764" s="8">
        <f t="shared" ref="M764" si="1679">IF(K764="","",B764/B712-1)</f>
        <v>0.28598450729598279</v>
      </c>
      <c r="N764" s="8">
        <f t="shared" ref="N764" si="1680">IF(L764="","",C764/C712-1)</f>
        <v>0.28767742518759598</v>
      </c>
      <c r="O764" s="7">
        <f>3253+2</f>
        <v>3255</v>
      </c>
      <c r="Q764" s="3"/>
      <c r="R764" s="3"/>
      <c r="S764" s="6"/>
      <c r="T764" s="7"/>
      <c r="U764" s="7"/>
      <c r="V764" s="7"/>
      <c r="W764" s="7"/>
      <c r="X764" s="7"/>
      <c r="Y764" s="7"/>
      <c r="Z764" s="7"/>
      <c r="AA764" s="7"/>
      <c r="AB764" s="7"/>
      <c r="AC764" s="7"/>
      <c r="AD764" s="7"/>
      <c r="AE764" s="8"/>
      <c r="AF764" s="8"/>
      <c r="AG764" s="7"/>
    </row>
    <row r="765" spans="1:33" ht="19.7" customHeight="1" x14ac:dyDescent="0.25">
      <c r="A765" s="6">
        <v>45192</v>
      </c>
      <c r="B765" s="7">
        <f t="shared" ref="B765" si="1681">IF(SUM(C765:J765)="","",SUM(C765:J765))</f>
        <v>27624</v>
      </c>
      <c r="C765" s="7">
        <f>27523+26</f>
        <v>27549</v>
      </c>
      <c r="D765" s="7">
        <v>44</v>
      </c>
      <c r="E765" s="7">
        <v>31</v>
      </c>
      <c r="F765" s="7">
        <v>0</v>
      </c>
      <c r="G765" s="7">
        <v>0</v>
      </c>
      <c r="H765" s="7">
        <v>0</v>
      </c>
      <c r="I765" s="7">
        <v>0</v>
      </c>
      <c r="J765" s="7">
        <v>0</v>
      </c>
      <c r="K765" s="7">
        <f t="shared" ref="K765" si="1682">IF(B765=0,"",B765-B713)</f>
        <v>5916</v>
      </c>
      <c r="L765" s="7">
        <f t="shared" ref="L765" si="1683">IF(C765=0,"",C765-C713)</f>
        <v>5923</v>
      </c>
      <c r="M765" s="8">
        <f t="shared" ref="M765" si="1684">IF(K765="","",B765/B713-1)</f>
        <v>0.27252625760088445</v>
      </c>
      <c r="N765" s="8">
        <f t="shared" ref="N765" si="1685">IF(L765="","",C765/C713-1)</f>
        <v>0.27388328863405165</v>
      </c>
      <c r="O765" s="7">
        <f>3216+5</f>
        <v>3221</v>
      </c>
      <c r="Q765" s="3"/>
      <c r="R765" s="3"/>
      <c r="S765" s="6"/>
      <c r="T765" s="7"/>
      <c r="U765" s="7"/>
      <c r="V765" s="7"/>
      <c r="W765" s="7"/>
      <c r="X765" s="7"/>
      <c r="Y765" s="7"/>
      <c r="Z765" s="7"/>
      <c r="AA765" s="7"/>
      <c r="AB765" s="7"/>
      <c r="AC765" s="7"/>
      <c r="AD765" s="7"/>
      <c r="AE765" s="8"/>
      <c r="AF765" s="8"/>
      <c r="AG765" s="7"/>
    </row>
    <row r="766" spans="1:33" ht="19.7" customHeight="1" x14ac:dyDescent="0.25">
      <c r="A766" s="6">
        <v>45199</v>
      </c>
      <c r="B766" s="7">
        <f t="shared" ref="B766" si="1686">IF(SUM(C766:J766)="","",SUM(C766:J766))</f>
        <v>27084</v>
      </c>
      <c r="C766" s="7">
        <f>26949+61</f>
        <v>27010</v>
      </c>
      <c r="D766" s="7">
        <v>42</v>
      </c>
      <c r="E766" s="7">
        <v>32</v>
      </c>
      <c r="F766" s="7">
        <v>0</v>
      </c>
      <c r="G766" s="7">
        <v>0</v>
      </c>
      <c r="H766" s="7">
        <v>0</v>
      </c>
      <c r="I766" s="7">
        <v>0</v>
      </c>
      <c r="J766" s="7">
        <v>0</v>
      </c>
      <c r="K766" s="7">
        <f t="shared" ref="K766" si="1687">IF(B766=0,"",B766-B714)</f>
        <v>6022</v>
      </c>
      <c r="L766" s="7">
        <f t="shared" ref="L766" si="1688">IF(C766=0,"",C766-C714)</f>
        <v>6049</v>
      </c>
      <c r="M766" s="8">
        <f t="shared" ref="M766" si="1689">IF(K766="","",B766/B714-1)</f>
        <v>0.2859177665938657</v>
      </c>
      <c r="N766" s="8">
        <f t="shared" ref="N766" si="1690">IF(L766="","",C766/C714-1)</f>
        <v>0.28858355994465912</v>
      </c>
      <c r="O766" s="7">
        <f>3167+1</f>
        <v>3168</v>
      </c>
      <c r="Q766" s="3"/>
      <c r="R766" s="3"/>
      <c r="S766" s="6"/>
      <c r="T766" s="7"/>
      <c r="U766" s="7"/>
      <c r="V766" s="7"/>
      <c r="W766" s="7"/>
      <c r="X766" s="7"/>
      <c r="Y766" s="7"/>
      <c r="Z766" s="7"/>
      <c r="AA766" s="7"/>
      <c r="AB766" s="7"/>
      <c r="AC766" s="7"/>
      <c r="AD766" s="7"/>
      <c r="AE766" s="8"/>
      <c r="AF766" s="8"/>
      <c r="AG766" s="7"/>
    </row>
    <row r="767" spans="1:33" ht="19.7" customHeight="1" x14ac:dyDescent="0.25">
      <c r="A767" s="6">
        <v>45206</v>
      </c>
      <c r="B767" s="7">
        <f t="shared" ref="B767" si="1691">IF(SUM(C767:J767)="","",SUM(C767:J767))</f>
        <v>26169</v>
      </c>
      <c r="C767" s="7">
        <f>26053+32</f>
        <v>26085</v>
      </c>
      <c r="D767" s="7">
        <v>51</v>
      </c>
      <c r="E767" s="7">
        <v>32</v>
      </c>
      <c r="F767" s="7">
        <v>0</v>
      </c>
      <c r="G767" s="7">
        <v>0</v>
      </c>
      <c r="H767" s="7">
        <v>0</v>
      </c>
      <c r="I767" s="7">
        <v>0</v>
      </c>
      <c r="J767" s="7">
        <v>1</v>
      </c>
      <c r="K767" s="7">
        <f t="shared" ref="K767" si="1692">IF(B767=0,"",B767-B715)</f>
        <v>5944</v>
      </c>
      <c r="L767" s="7">
        <f t="shared" ref="L767" si="1693">IF(C767=0,"",C767-C715)</f>
        <v>5955</v>
      </c>
      <c r="M767" s="8">
        <f t="shared" ref="M767" si="1694">IF(K767="","",B767/B715-1)</f>
        <v>0.29389369592088999</v>
      </c>
      <c r="N767" s="8">
        <f t="shared" ref="N767" si="1695">IF(L767="","",C767/C715-1)</f>
        <v>0.29582712369597619</v>
      </c>
      <c r="O767" s="7">
        <f>3675+4</f>
        <v>3679</v>
      </c>
      <c r="Q767" s="3"/>
      <c r="R767" s="3"/>
      <c r="S767" s="6"/>
      <c r="T767" s="7"/>
      <c r="U767" s="7"/>
      <c r="V767" s="7"/>
      <c r="W767" s="7"/>
      <c r="X767" s="7"/>
      <c r="Y767" s="7"/>
      <c r="Z767" s="7"/>
      <c r="AA767" s="7"/>
      <c r="AB767" s="7"/>
      <c r="AC767" s="7"/>
      <c r="AD767" s="7"/>
      <c r="AE767" s="8"/>
      <c r="AF767" s="8"/>
      <c r="AG767" s="7"/>
    </row>
    <row r="768" spans="1:33" ht="19.7" customHeight="1" x14ac:dyDescent="0.25">
      <c r="A768" s="6">
        <v>45213</v>
      </c>
      <c r="B768" s="7">
        <f t="shared" ref="B768" si="1696">IF(SUM(C768:J768)="","",SUM(C768:J768))</f>
        <v>25560</v>
      </c>
      <c r="C768" s="7">
        <f>25422+58</f>
        <v>25480</v>
      </c>
      <c r="D768" s="7">
        <v>47</v>
      </c>
      <c r="E768" s="7">
        <v>33</v>
      </c>
      <c r="F768" s="7">
        <v>0</v>
      </c>
      <c r="G768" s="7">
        <v>0</v>
      </c>
      <c r="H768" s="7">
        <v>0</v>
      </c>
      <c r="I768" s="7">
        <v>0</v>
      </c>
      <c r="J768" s="7">
        <v>0</v>
      </c>
      <c r="K768" s="7">
        <f t="shared" ref="K768" si="1697">IF(B768=0,"",B768-B716)</f>
        <v>5443</v>
      </c>
      <c r="L768" s="7">
        <f t="shared" ref="L768" si="1698">IF(C768=0,"",C768-C716)</f>
        <v>5436</v>
      </c>
      <c r="M768" s="8">
        <f t="shared" ref="M768" si="1699">IF(K768="","",B768/B716-1)</f>
        <v>0.27056718198538543</v>
      </c>
      <c r="N768" s="8">
        <f t="shared" ref="N768" si="1700">IF(L768="","",C768/C716-1)</f>
        <v>0.27120335262422679</v>
      </c>
      <c r="O768" s="7">
        <f>3251+3</f>
        <v>3254</v>
      </c>
      <c r="Q768" s="3"/>
      <c r="R768" s="3"/>
      <c r="S768" s="6"/>
      <c r="T768" s="7"/>
      <c r="U768" s="7"/>
      <c r="V768" s="7"/>
      <c r="W768" s="7"/>
      <c r="X768" s="7"/>
      <c r="Y768" s="7"/>
      <c r="Z768" s="7"/>
      <c r="AA768" s="7"/>
      <c r="AB768" s="7"/>
      <c r="AC768" s="7"/>
      <c r="AD768" s="7"/>
      <c r="AE768" s="8"/>
      <c r="AF768" s="8"/>
      <c r="AG768" s="7"/>
    </row>
    <row r="769" spans="1:33" ht="19.7" customHeight="1" x14ac:dyDescent="0.25">
      <c r="A769" s="6">
        <v>45220</v>
      </c>
      <c r="B769" s="7">
        <f t="shared" ref="B769" si="1701">IF(SUM(C769:J769)="","",SUM(C769:J769))</f>
        <v>25266</v>
      </c>
      <c r="C769" s="7">
        <f>25121+61</f>
        <v>25182</v>
      </c>
      <c r="D769" s="7">
        <v>54</v>
      </c>
      <c r="E769" s="7">
        <v>30</v>
      </c>
      <c r="F769" s="7">
        <v>0</v>
      </c>
      <c r="G769" s="7">
        <v>0</v>
      </c>
      <c r="H769" s="7">
        <v>0</v>
      </c>
      <c r="I769" s="7">
        <v>0</v>
      </c>
      <c r="J769" s="7">
        <v>0</v>
      </c>
      <c r="K769" s="7">
        <f t="shared" ref="K769" si="1702">IF(B769=0,"",B769-B717)</f>
        <v>5626</v>
      </c>
      <c r="L769" s="7">
        <f t="shared" ref="L769" si="1703">IF(C769=0,"",C769-C717)</f>
        <v>5635</v>
      </c>
      <c r="M769" s="8">
        <f t="shared" ref="M769" si="1704">IF(K769="","",B769/B717-1)</f>
        <v>0.28645621181262726</v>
      </c>
      <c r="N769" s="8">
        <f t="shared" ref="N769" si="1705">IF(L769="","",C769/C717-1)</f>
        <v>0.28827953138589035</v>
      </c>
      <c r="O769" s="7">
        <f>3363+3</f>
        <v>3366</v>
      </c>
      <c r="Q769" s="3"/>
      <c r="R769" s="3"/>
      <c r="S769" s="6"/>
      <c r="T769" s="7"/>
      <c r="U769" s="7"/>
      <c r="V769" s="7"/>
      <c r="W769" s="7"/>
      <c r="X769" s="7"/>
      <c r="Y769" s="7"/>
      <c r="Z769" s="7"/>
      <c r="AA769" s="7"/>
      <c r="AB769" s="7"/>
      <c r="AC769" s="7"/>
      <c r="AD769" s="7"/>
      <c r="AE769" s="8"/>
      <c r="AF769" s="8"/>
      <c r="AG769" s="7"/>
    </row>
    <row r="770" spans="1:33" ht="19.7" customHeight="1" x14ac:dyDescent="0.25">
      <c r="A770" s="6">
        <v>45227</v>
      </c>
      <c r="B770" s="7">
        <f t="shared" ref="B770" si="1706">IF(SUM(C770:J770)="","",SUM(C770:J770))</f>
        <v>24653</v>
      </c>
      <c r="C770" s="7">
        <f>24534+36</f>
        <v>24570</v>
      </c>
      <c r="D770" s="7">
        <v>48</v>
      </c>
      <c r="E770" s="7">
        <v>35</v>
      </c>
      <c r="F770" s="7">
        <v>0</v>
      </c>
      <c r="G770" s="7">
        <v>0</v>
      </c>
      <c r="H770" s="7">
        <v>0</v>
      </c>
      <c r="I770" s="7">
        <v>0</v>
      </c>
      <c r="J770" s="7">
        <v>0</v>
      </c>
      <c r="K770" s="7">
        <f t="shared" ref="K770" si="1707">IF(B770=0,"",B770-B718)</f>
        <v>4874</v>
      </c>
      <c r="L770" s="7">
        <f t="shared" ref="L770" si="1708">IF(C770=0,"",C770-C718)</f>
        <v>4883</v>
      </c>
      <c r="M770" s="8">
        <f t="shared" ref="M770" si="1709">IF(K770="","",B770/B718-1)</f>
        <v>0.24642297386116585</v>
      </c>
      <c r="N770" s="8">
        <f t="shared" ref="N770" si="1710">IF(L770="","",C770/C718-1)</f>
        <v>0.24803169604307418</v>
      </c>
      <c r="O770" s="7">
        <f>3281+2</f>
        <v>3283</v>
      </c>
      <c r="Q770" s="3"/>
      <c r="R770" s="3"/>
      <c r="S770" s="6"/>
      <c r="T770" s="7"/>
      <c r="U770" s="7"/>
      <c r="V770" s="7"/>
      <c r="W770" s="7"/>
      <c r="X770" s="7"/>
      <c r="Y770" s="7"/>
      <c r="Z770" s="7"/>
      <c r="AA770" s="7"/>
      <c r="AB770" s="7"/>
      <c r="AC770" s="7"/>
      <c r="AD770" s="7"/>
      <c r="AE770" s="8"/>
      <c r="AF770" s="8"/>
      <c r="AG770" s="7"/>
    </row>
    <row r="771" spans="1:33" ht="19.7" customHeight="1" x14ac:dyDescent="0.25">
      <c r="A771" s="6">
        <v>45234</v>
      </c>
      <c r="B771" s="7">
        <f t="shared" ref="B771" si="1711">IF(SUM(C771:J771)="","",SUM(C771:J771))</f>
        <v>24187</v>
      </c>
      <c r="C771" s="7">
        <f>24048+51</f>
        <v>24099</v>
      </c>
      <c r="D771" s="7">
        <v>58</v>
      </c>
      <c r="E771" s="7">
        <v>30</v>
      </c>
      <c r="F771" s="7">
        <v>0</v>
      </c>
      <c r="G771" s="7">
        <v>0</v>
      </c>
      <c r="H771" s="7">
        <v>0</v>
      </c>
      <c r="I771" s="7">
        <v>0</v>
      </c>
      <c r="J771" s="7">
        <v>0</v>
      </c>
      <c r="K771" s="7">
        <f t="shared" ref="K771" si="1712">IF(B771=0,"",B771-B719)</f>
        <v>5014</v>
      </c>
      <c r="L771" s="7">
        <f t="shared" ref="L771" si="1713">IF(C771=0,"",C771-C719)</f>
        <v>5012</v>
      </c>
      <c r="M771" s="8">
        <f t="shared" ref="M771" si="1714">IF(K771="","",B771/B719-1)</f>
        <v>0.26151358681479153</v>
      </c>
      <c r="N771" s="8">
        <f t="shared" ref="N771" si="1715">IF(L771="","",C771/C719-1)</f>
        <v>0.2625871011683345</v>
      </c>
      <c r="O771" s="7">
        <f>3443+6</f>
        <v>3449</v>
      </c>
      <c r="Q771" s="3"/>
      <c r="R771" s="3"/>
      <c r="S771" s="6"/>
      <c r="T771" s="7"/>
      <c r="U771" s="7"/>
      <c r="V771" s="7"/>
      <c r="W771" s="7"/>
      <c r="X771" s="7"/>
      <c r="Y771" s="7"/>
      <c r="Z771" s="7"/>
      <c r="AA771" s="7"/>
      <c r="AB771" s="7"/>
      <c r="AC771" s="7"/>
      <c r="AD771" s="7"/>
      <c r="AE771" s="8"/>
      <c r="AF771" s="8"/>
      <c r="AG771" s="7"/>
    </row>
    <row r="772" spans="1:33" ht="19.7" customHeight="1" x14ac:dyDescent="0.25">
      <c r="A772" s="6">
        <v>45241</v>
      </c>
      <c r="B772" s="7">
        <f t="shared" ref="B772" si="1716">IF(SUM(C772:J772)="","",SUM(C772:J772))</f>
        <v>22043</v>
      </c>
      <c r="C772" s="7">
        <f>21924+33</f>
        <v>21957</v>
      </c>
      <c r="D772" s="7">
        <v>61</v>
      </c>
      <c r="E772" s="7">
        <v>25</v>
      </c>
      <c r="F772" s="7">
        <v>0</v>
      </c>
      <c r="G772" s="7">
        <v>0</v>
      </c>
      <c r="H772" s="7">
        <v>0</v>
      </c>
      <c r="I772" s="7">
        <v>0</v>
      </c>
      <c r="J772" s="7">
        <v>0</v>
      </c>
      <c r="K772" s="7">
        <f t="shared" ref="K772" si="1717">IF(B772=0,"",B772-B720)</f>
        <v>4602</v>
      </c>
      <c r="L772" s="7">
        <f t="shared" ref="L772" si="1718">IF(C772=0,"",C772-C720)</f>
        <v>4597</v>
      </c>
      <c r="M772" s="8">
        <f t="shared" ref="M772" si="1719">IF(K772="","",B772/B720-1)</f>
        <v>0.26386101714351251</v>
      </c>
      <c r="N772" s="8">
        <f t="shared" ref="N772" si="1720">IF(L772="","",C772/C720-1)</f>
        <v>0.26480414746543768</v>
      </c>
      <c r="O772" s="7">
        <f>2988+2</f>
        <v>2990</v>
      </c>
      <c r="Q772" s="3"/>
      <c r="R772" s="3"/>
      <c r="S772" s="6"/>
      <c r="T772" s="7"/>
      <c r="U772" s="7"/>
      <c r="V772" s="7"/>
      <c r="W772" s="7"/>
      <c r="X772" s="7"/>
      <c r="Y772" s="7"/>
      <c r="Z772" s="7"/>
      <c r="AA772" s="7"/>
      <c r="AB772" s="7"/>
      <c r="AC772" s="7"/>
      <c r="AD772" s="7"/>
      <c r="AE772" s="8"/>
      <c r="AF772" s="8"/>
      <c r="AG772" s="7"/>
    </row>
    <row r="773" spans="1:33" ht="19.7" customHeight="1" x14ac:dyDescent="0.25">
      <c r="A773" s="6">
        <v>45248</v>
      </c>
      <c r="B773" s="7">
        <f t="shared" ref="B773" si="1721">IF(SUM(C773:J773)="","",SUM(C773:J773))</f>
        <v>24242</v>
      </c>
      <c r="C773" s="7">
        <f>24076+72</f>
        <v>24148</v>
      </c>
      <c r="D773" s="7">
        <v>68</v>
      </c>
      <c r="E773" s="7">
        <v>26</v>
      </c>
      <c r="F773" s="7">
        <v>0</v>
      </c>
      <c r="G773" s="7">
        <v>0</v>
      </c>
      <c r="H773" s="7">
        <v>0</v>
      </c>
      <c r="I773" s="7">
        <v>0</v>
      </c>
      <c r="J773" s="7">
        <v>0</v>
      </c>
      <c r="K773" s="7">
        <f t="shared" ref="K773" si="1722">IF(B773=0,"",B773-B721)</f>
        <v>5060</v>
      </c>
      <c r="L773" s="7">
        <f t="shared" ref="L773" si="1723">IF(C773=0,"",C773-C721)</f>
        <v>5067</v>
      </c>
      <c r="M773" s="8">
        <f t="shared" ref="M773" si="1724">IF(K773="","",B773/B721-1)</f>
        <v>0.26378896882493996</v>
      </c>
      <c r="N773" s="8">
        <f t="shared" ref="N773" si="1725">IF(L773="","",C773/C721-1)</f>
        <v>0.26555211990985805</v>
      </c>
      <c r="O773" s="7">
        <f>3880+18</f>
        <v>3898</v>
      </c>
      <c r="Q773" s="3"/>
      <c r="R773" s="3"/>
      <c r="S773" s="6"/>
      <c r="T773" s="7"/>
      <c r="U773" s="7"/>
      <c r="V773" s="7"/>
      <c r="W773" s="7"/>
      <c r="X773" s="7"/>
      <c r="Y773" s="7"/>
      <c r="Z773" s="7"/>
      <c r="AA773" s="7"/>
      <c r="AB773" s="7"/>
      <c r="AC773" s="7"/>
      <c r="AD773" s="7"/>
      <c r="AE773" s="8"/>
      <c r="AF773" s="8"/>
      <c r="AG773" s="7"/>
    </row>
    <row r="774" spans="1:33" ht="19.7" customHeight="1" x14ac:dyDescent="0.25">
      <c r="A774" s="6">
        <v>45255</v>
      </c>
      <c r="B774" s="7">
        <f t="shared" ref="B774" si="1726">IF(SUM(C774:J774)="","",SUM(C774:J774))</f>
        <v>21363</v>
      </c>
      <c r="C774" s="7">
        <f>21237+39</f>
        <v>21276</v>
      </c>
      <c r="D774" s="7">
        <v>61</v>
      </c>
      <c r="E774" s="7">
        <v>26</v>
      </c>
      <c r="F774" s="7">
        <v>0</v>
      </c>
      <c r="G774" s="7">
        <v>0</v>
      </c>
      <c r="H774" s="7">
        <v>0</v>
      </c>
      <c r="I774" s="7">
        <v>0</v>
      </c>
      <c r="J774" s="7">
        <v>0</v>
      </c>
      <c r="K774" s="7">
        <f t="shared" ref="K774" si="1727">IF(B774=0,"",B774-B722)</f>
        <v>4359</v>
      </c>
      <c r="L774" s="7">
        <f t="shared" ref="L774" si="1728">IF(C774=0,"",C774-C722)</f>
        <v>4377</v>
      </c>
      <c r="M774" s="8">
        <f t="shared" ref="M774" si="1729">IF(K774="","",B774/B722-1)</f>
        <v>0.25635144671841914</v>
      </c>
      <c r="N774" s="8">
        <f t="shared" ref="N774" si="1730">IF(L774="","",C774/C722-1)</f>
        <v>0.25900940884075974</v>
      </c>
      <c r="O774" s="7">
        <f>2439+25</f>
        <v>2464</v>
      </c>
      <c r="Q774" s="3"/>
      <c r="R774" s="3"/>
      <c r="S774" s="6"/>
      <c r="T774" s="7"/>
      <c r="U774" s="7"/>
      <c r="V774" s="7"/>
      <c r="W774" s="7"/>
      <c r="X774" s="7"/>
      <c r="Y774" s="7"/>
      <c r="Z774" s="7"/>
      <c r="AA774" s="7"/>
      <c r="AB774" s="7"/>
      <c r="AC774" s="7"/>
      <c r="AD774" s="7"/>
      <c r="AE774" s="8"/>
      <c r="AF774" s="8"/>
      <c r="AG774" s="7"/>
    </row>
    <row r="775" spans="1:33" ht="19.7" customHeight="1" x14ac:dyDescent="0.25">
      <c r="A775" s="6">
        <v>45262</v>
      </c>
      <c r="B775" s="7">
        <f t="shared" ref="B775" si="1731">IF(SUM(C775:J775)="","",SUM(C775:J775))</f>
        <v>22291</v>
      </c>
      <c r="C775" s="7">
        <f>22123+37</f>
        <v>22160</v>
      </c>
      <c r="D775" s="7">
        <v>85</v>
      </c>
      <c r="E775" s="7">
        <v>46</v>
      </c>
      <c r="F775" s="7">
        <v>0</v>
      </c>
      <c r="G775" s="7">
        <v>0</v>
      </c>
      <c r="H775" s="7">
        <v>0</v>
      </c>
      <c r="I775" s="7">
        <v>0</v>
      </c>
      <c r="J775" s="7">
        <v>0</v>
      </c>
      <c r="K775" s="7">
        <f t="shared" ref="K775" si="1732">IF(B775=0,"",B775-B723)</f>
        <v>4270</v>
      </c>
      <c r="L775" s="7">
        <f t="shared" ref="L775" si="1733">IF(C775=0,"",C775-C723)</f>
        <v>4242</v>
      </c>
      <c r="M775" s="8">
        <f t="shared" ref="M775" si="1734">IF(K775="","",B775/B723-1)</f>
        <v>0.23694578547250433</v>
      </c>
      <c r="N775" s="8">
        <f t="shared" ref="N775" si="1735">IF(L775="","",C775/C723-1)</f>
        <v>0.23674517245228266</v>
      </c>
      <c r="O775" s="7">
        <f>3266+21</f>
        <v>3287</v>
      </c>
      <c r="Q775" s="3"/>
      <c r="R775" s="3"/>
      <c r="S775" s="6"/>
      <c r="T775" s="7"/>
      <c r="U775" s="7"/>
      <c r="V775" s="7"/>
      <c r="W775" s="7"/>
      <c r="X775" s="7"/>
      <c r="Y775" s="7"/>
      <c r="Z775" s="7"/>
      <c r="AA775" s="7"/>
      <c r="AB775" s="7"/>
      <c r="AC775" s="7"/>
      <c r="AD775" s="7"/>
      <c r="AE775" s="8"/>
      <c r="AF775" s="8"/>
      <c r="AG775" s="7"/>
    </row>
    <row r="776" spans="1:33" ht="19.7" customHeight="1" x14ac:dyDescent="0.25">
      <c r="A776" s="6">
        <v>45269</v>
      </c>
      <c r="B776" s="7">
        <f t="shared" ref="B776" si="1736">IF(SUM(C776:J776)="","",SUM(C776:J776))</f>
        <v>21647</v>
      </c>
      <c r="C776" s="7">
        <f>21477+65</f>
        <v>21542</v>
      </c>
      <c r="D776" s="7">
        <v>84</v>
      </c>
      <c r="E776" s="7">
        <v>21</v>
      </c>
      <c r="F776" s="7">
        <v>0</v>
      </c>
      <c r="G776" s="7">
        <v>0</v>
      </c>
      <c r="H776" s="7">
        <v>0</v>
      </c>
      <c r="I776" s="7">
        <v>0</v>
      </c>
      <c r="J776" s="7">
        <v>0</v>
      </c>
      <c r="K776" s="7">
        <f t="shared" ref="K776" si="1737">IF(B776=0,"",B776-B724)</f>
        <v>3953</v>
      </c>
      <c r="L776" s="7">
        <f t="shared" ref="L776" si="1738">IF(C776=0,"",C776-C724)</f>
        <v>3945</v>
      </c>
      <c r="M776" s="8">
        <f t="shared" ref="M776" si="1739">IF(K776="","",B776/B724-1)</f>
        <v>0.2234090652198486</v>
      </c>
      <c r="N776" s="8">
        <f t="shared" ref="N776" si="1740">IF(L776="","",C776/C724-1)</f>
        <v>0.22418594078536125</v>
      </c>
      <c r="O776" s="7">
        <f>3542+4</f>
        <v>3546</v>
      </c>
      <c r="Q776" s="3"/>
      <c r="R776" s="3"/>
      <c r="S776" s="6"/>
      <c r="T776" s="7"/>
      <c r="U776" s="7"/>
      <c r="V776" s="7"/>
      <c r="W776" s="7"/>
      <c r="X776" s="7"/>
      <c r="Y776" s="7"/>
      <c r="Z776" s="7"/>
      <c r="AA776" s="7"/>
      <c r="AB776" s="7"/>
      <c r="AC776" s="7"/>
      <c r="AD776" s="7"/>
      <c r="AE776" s="8"/>
      <c r="AF776" s="8"/>
      <c r="AG776" s="7"/>
    </row>
    <row r="777" spans="1:33" ht="19.7" customHeight="1" x14ac:dyDescent="0.25">
      <c r="A777" s="6">
        <v>45276</v>
      </c>
      <c r="B777" s="7">
        <f t="shared" ref="B777" si="1741">IF(SUM(C777:J777)="","",SUM(C777:J777))</f>
        <v>21784</v>
      </c>
      <c r="C777" s="7">
        <f>21533+129</f>
        <v>21662</v>
      </c>
      <c r="D777" s="7">
        <v>96</v>
      </c>
      <c r="E777" s="7">
        <v>26</v>
      </c>
      <c r="F777" s="7">
        <v>0</v>
      </c>
      <c r="G777" s="7">
        <v>0</v>
      </c>
      <c r="H777" s="7">
        <v>0</v>
      </c>
      <c r="I777" s="7">
        <v>0</v>
      </c>
      <c r="J777" s="7">
        <v>0</v>
      </c>
      <c r="K777" s="7">
        <f t="shared" ref="K777" si="1742">IF(B777=0,"",B777-B725)</f>
        <v>3828</v>
      </c>
      <c r="L777" s="7">
        <f t="shared" ref="L777" si="1743">IF(C777=0,"",C777-C725)</f>
        <v>3811</v>
      </c>
      <c r="M777" s="8">
        <f t="shared" ref="M777" si="1744">IF(K777="","",B777/B725-1)</f>
        <v>0.21318779238137675</v>
      </c>
      <c r="N777" s="8">
        <f t="shared" ref="N777" si="1745">IF(L777="","",C777/C725-1)</f>
        <v>0.21348944036748652</v>
      </c>
      <c r="O777" s="7">
        <f>3260+4</f>
        <v>3264</v>
      </c>
      <c r="Q777" s="3"/>
      <c r="R777" s="3"/>
      <c r="S777" s="6"/>
      <c r="T777" s="7"/>
      <c r="U777" s="7"/>
      <c r="V777" s="7"/>
      <c r="W777" s="7"/>
      <c r="X777" s="7"/>
      <c r="Y777" s="7"/>
      <c r="Z777" s="7"/>
      <c r="AA777" s="7"/>
      <c r="AB777" s="7"/>
      <c r="AC777" s="7"/>
      <c r="AD777" s="7"/>
      <c r="AE777" s="8"/>
      <c r="AF777" s="8"/>
      <c r="AG777" s="7"/>
    </row>
    <row r="778" spans="1:33" ht="19.7" customHeight="1" x14ac:dyDescent="0.25">
      <c r="A778" s="6">
        <v>45283</v>
      </c>
      <c r="B778" s="7">
        <f t="shared" ref="B778" si="1746">IF(SUM(C778:J778)="","",SUM(C778:J778))</f>
        <v>21995</v>
      </c>
      <c r="C778" s="7">
        <f>21745+113</f>
        <v>21858</v>
      </c>
      <c r="D778" s="7">
        <v>116</v>
      </c>
      <c r="E778" s="7">
        <v>21</v>
      </c>
      <c r="F778" s="7">
        <v>0</v>
      </c>
      <c r="G778" s="7">
        <v>0</v>
      </c>
      <c r="H778" s="7">
        <v>0</v>
      </c>
      <c r="I778" s="7">
        <v>0</v>
      </c>
      <c r="J778" s="7">
        <v>0</v>
      </c>
      <c r="K778" s="7">
        <f t="shared" ref="K778" si="1747">IF(B778=0,"",B778-B726)</f>
        <v>4159</v>
      </c>
      <c r="L778" s="7">
        <f t="shared" ref="L778" si="1748">IF(C778=0,"",C778-C726)</f>
        <v>4132</v>
      </c>
      <c r="M778" s="8">
        <f t="shared" ref="M778" si="1749">IF(K778="","",B778/B726-1)</f>
        <v>0.23318008522090161</v>
      </c>
      <c r="N778" s="8">
        <f t="shared" ref="N778" si="1750">IF(L778="","",C778/C726-1)</f>
        <v>0.23310391515288287</v>
      </c>
      <c r="O778" s="7">
        <f>3021+4</f>
        <v>3025</v>
      </c>
      <c r="Q778" s="3"/>
      <c r="R778" s="3"/>
      <c r="S778" s="6"/>
      <c r="T778" s="7"/>
      <c r="U778" s="7"/>
      <c r="V778" s="7"/>
      <c r="W778" s="7"/>
      <c r="X778" s="7"/>
      <c r="Y778" s="7"/>
      <c r="Z778" s="7"/>
      <c r="AA778" s="7"/>
      <c r="AB778" s="7"/>
      <c r="AC778" s="7"/>
      <c r="AD778" s="7"/>
      <c r="AE778" s="8"/>
      <c r="AF778" s="8"/>
      <c r="AG778" s="7"/>
    </row>
    <row r="779" spans="1:33" ht="19.7" customHeight="1" x14ac:dyDescent="0.25">
      <c r="A779" s="6">
        <v>45290</v>
      </c>
      <c r="B779" s="7">
        <f t="shared" ref="B779" si="1751">IF(SUM(C779:J779)="","",SUM(C779:J779))</f>
        <v>21524</v>
      </c>
      <c r="C779" s="7">
        <f>21387+0</f>
        <v>21387</v>
      </c>
      <c r="D779" s="7">
        <v>116</v>
      </c>
      <c r="E779" s="7">
        <v>21</v>
      </c>
      <c r="F779" s="7">
        <v>0</v>
      </c>
      <c r="G779" s="7">
        <v>0</v>
      </c>
      <c r="H779" s="7">
        <v>0</v>
      </c>
      <c r="I779" s="7">
        <v>0</v>
      </c>
      <c r="J779" s="7">
        <v>0</v>
      </c>
      <c r="K779" s="7">
        <f t="shared" ref="K779" si="1752">IF(B779=0,"",B779-B727)</f>
        <v>3717</v>
      </c>
      <c r="L779" s="7">
        <f t="shared" ref="L779" si="1753">IF(C779=0,"",C779-C727)</f>
        <v>3700</v>
      </c>
      <c r="M779" s="8">
        <f t="shared" ref="M779" si="1754">IF(K779="","",B779/B727-1)</f>
        <v>0.20873813668781938</v>
      </c>
      <c r="N779" s="8">
        <f t="shared" ref="N779" si="1755">IF(L779="","",C779/C727-1)</f>
        <v>0.20919319274043091</v>
      </c>
      <c r="O779" s="7">
        <f>2298+0</f>
        <v>2298</v>
      </c>
      <c r="Q779" s="3"/>
      <c r="R779" s="3"/>
      <c r="S779" s="6"/>
      <c r="T779" s="7"/>
      <c r="U779" s="7"/>
      <c r="V779" s="7"/>
      <c r="W779" s="7"/>
      <c r="X779" s="7"/>
      <c r="Y779" s="7"/>
      <c r="Z779" s="7"/>
      <c r="AA779" s="7"/>
      <c r="AB779" s="7"/>
      <c r="AC779" s="7"/>
      <c r="AD779" s="7"/>
      <c r="AE779" s="8"/>
      <c r="AF779" s="8"/>
      <c r="AG779" s="7"/>
    </row>
    <row r="780" spans="1:33" ht="19.7" customHeight="1" x14ac:dyDescent="0.25">
      <c r="A780" s="6">
        <v>45297</v>
      </c>
      <c r="B780" s="7">
        <f t="shared" ref="B780" si="1756">IF(SUM(C780:J780)="","",SUM(C780:J780))</f>
        <v>21714</v>
      </c>
      <c r="C780" s="7">
        <f>21412+187</f>
        <v>21599</v>
      </c>
      <c r="D780" s="7">
        <v>98</v>
      </c>
      <c r="E780" s="7">
        <v>17</v>
      </c>
      <c r="F780" s="7">
        <v>0</v>
      </c>
      <c r="G780" s="7">
        <v>0</v>
      </c>
      <c r="H780" s="7">
        <v>0</v>
      </c>
      <c r="I780" s="7">
        <v>0</v>
      </c>
      <c r="J780" s="7">
        <v>0</v>
      </c>
      <c r="K780" s="7">
        <f t="shared" ref="K780" si="1757">IF(B780=0,"",B780-B728)</f>
        <v>3783</v>
      </c>
      <c r="L780" s="7">
        <f t="shared" ref="L780" si="1758">IF(C780=0,"",C780-C728)</f>
        <v>3785</v>
      </c>
      <c r="M780" s="8">
        <f t="shared" ref="M780" si="1759">IF(K780="","",B780/B728-1)</f>
        <v>0.21097540572193418</v>
      </c>
      <c r="N780" s="8">
        <f t="shared" ref="N780" si="1760">IF(L780="","",C780/C728-1)</f>
        <v>0.21247333557875825</v>
      </c>
      <c r="O780" s="7">
        <f>3246+2</f>
        <v>3248</v>
      </c>
      <c r="Q780" s="3"/>
      <c r="R780" s="3"/>
      <c r="S780" s="6"/>
      <c r="T780" s="7"/>
      <c r="U780" s="7"/>
      <c r="V780" s="7"/>
      <c r="W780" s="7"/>
      <c r="X780" s="7"/>
      <c r="Y780" s="7"/>
      <c r="Z780" s="7"/>
      <c r="AA780" s="7"/>
      <c r="AB780" s="7"/>
      <c r="AC780" s="7"/>
      <c r="AD780" s="7"/>
      <c r="AE780" s="8"/>
      <c r="AF780" s="8"/>
      <c r="AG780" s="7"/>
    </row>
    <row r="781" spans="1:33" ht="19.7" customHeight="1" x14ac:dyDescent="0.25">
      <c r="A781" s="6">
        <v>45304</v>
      </c>
      <c r="B781" s="7">
        <f t="shared" ref="B781" si="1761">IF(SUM(C781:J781)="","",SUM(C781:J781))</f>
        <v>21970</v>
      </c>
      <c r="C781" s="7">
        <f>21777+50</f>
        <v>21827</v>
      </c>
      <c r="D781" s="7">
        <v>123</v>
      </c>
      <c r="E781" s="7">
        <v>20</v>
      </c>
      <c r="F781" s="7">
        <v>0</v>
      </c>
      <c r="G781" s="7">
        <v>0</v>
      </c>
      <c r="H781" s="7">
        <v>0</v>
      </c>
      <c r="I781" s="7">
        <v>0</v>
      </c>
      <c r="J781" s="7">
        <v>0</v>
      </c>
      <c r="K781" s="7">
        <f t="shared" ref="K781" si="1762">IF(B781=0,"",B781-B729)</f>
        <v>3244</v>
      </c>
      <c r="L781" s="7">
        <f t="shared" ref="L781" si="1763">IF(C781=0,"",C781-C729)</f>
        <v>3238</v>
      </c>
      <c r="M781" s="8">
        <f t="shared" ref="M781" si="1764">IF(K781="","",B781/B729-1)</f>
        <v>0.17323507422834572</v>
      </c>
      <c r="N781" s="8">
        <f t="shared" ref="N781" si="1765">IF(L781="","",C781/C729-1)</f>
        <v>0.17418903652697826</v>
      </c>
      <c r="O781" s="7">
        <f>4078+11</f>
        <v>4089</v>
      </c>
      <c r="Q781" s="3"/>
      <c r="R781" s="3"/>
      <c r="S781" s="6"/>
      <c r="T781" s="7"/>
      <c r="U781" s="7"/>
      <c r="V781" s="7"/>
      <c r="W781" s="7"/>
      <c r="X781" s="7"/>
      <c r="Y781" s="7"/>
      <c r="Z781" s="7"/>
      <c r="AA781" s="7"/>
      <c r="AB781" s="7"/>
      <c r="AC781" s="7"/>
      <c r="AD781" s="7"/>
      <c r="AE781" s="8"/>
      <c r="AF781" s="8"/>
      <c r="AG781" s="7"/>
    </row>
    <row r="782" spans="1:33" ht="19.7" customHeight="1" x14ac:dyDescent="0.25">
      <c r="A782" s="6">
        <v>45311</v>
      </c>
      <c r="B782" s="7">
        <f t="shared" ref="B782" si="1766">IF(SUM(C782:J782)="","",SUM(C782:J782))</f>
        <v>22081</v>
      </c>
      <c r="C782" s="7">
        <f>21856+102</f>
        <v>21958</v>
      </c>
      <c r="D782" s="7">
        <v>98</v>
      </c>
      <c r="E782" s="7">
        <v>25</v>
      </c>
      <c r="F782" s="7">
        <v>0</v>
      </c>
      <c r="G782" s="7">
        <v>0</v>
      </c>
      <c r="H782" s="7">
        <v>0</v>
      </c>
      <c r="I782" s="7">
        <v>0</v>
      </c>
      <c r="J782" s="7">
        <v>0</v>
      </c>
      <c r="K782" s="7">
        <f t="shared" ref="K782" si="1767">IF(B782=0,"",B782-B730)</f>
        <v>3414</v>
      </c>
      <c r="L782" s="7">
        <f t="shared" ref="L782" si="1768">IF(C782=0,"",C782-C730)</f>
        <v>3405</v>
      </c>
      <c r="M782" s="8">
        <f t="shared" ref="M782" si="1769">IF(K782="","",B782/B730-1)</f>
        <v>0.18288959125729898</v>
      </c>
      <c r="N782" s="8">
        <f t="shared" ref="N782" si="1770">IF(L782="","",C782/C730-1)</f>
        <v>0.1835282703605885</v>
      </c>
      <c r="O782" s="7">
        <f>3475+1</f>
        <v>3476</v>
      </c>
      <c r="Q782" s="3"/>
      <c r="R782" s="3"/>
      <c r="S782" s="6"/>
      <c r="T782" s="7"/>
      <c r="U782" s="7"/>
      <c r="V782" s="7"/>
      <c r="W782" s="7"/>
      <c r="X782" s="7"/>
      <c r="Y782" s="7"/>
      <c r="Z782" s="7"/>
      <c r="AA782" s="7"/>
      <c r="AB782" s="7"/>
      <c r="AC782" s="7"/>
      <c r="AD782" s="7"/>
      <c r="AE782" s="8"/>
      <c r="AF782" s="8"/>
      <c r="AG782" s="7"/>
    </row>
    <row r="783" spans="1:33" ht="19.7" customHeight="1" x14ac:dyDescent="0.25">
      <c r="A783" s="6">
        <v>45318</v>
      </c>
      <c r="B783" s="7">
        <f t="shared" ref="B783" si="1771">IF(SUM(C783:J783)="","",SUM(C783:J783))</f>
        <v>22409</v>
      </c>
      <c r="C783" s="7">
        <f>22179+86</f>
        <v>22265</v>
      </c>
      <c r="D783" s="7">
        <v>123</v>
      </c>
      <c r="E783" s="7">
        <v>21</v>
      </c>
      <c r="F783" s="7">
        <v>0</v>
      </c>
      <c r="G783" s="7">
        <v>0</v>
      </c>
      <c r="H783" s="7">
        <v>0</v>
      </c>
      <c r="I783" s="7">
        <v>0</v>
      </c>
      <c r="J783" s="7">
        <v>0</v>
      </c>
      <c r="K783" s="7">
        <f t="shared" ref="K783" si="1772">IF(B783=0,"",B783-B731)</f>
        <v>2990</v>
      </c>
      <c r="L783" s="7">
        <f t="shared" ref="L783" si="1773">IF(C783=0,"",C783-C731)</f>
        <v>2990</v>
      </c>
      <c r="M783" s="8">
        <f t="shared" ref="M783" si="1774">IF(K783="","",B783/B731-1)</f>
        <v>0.15397291312631967</v>
      </c>
      <c r="N783" s="8">
        <f t="shared" ref="N783" si="1775">IF(L783="","",C783/C731-1)</f>
        <v>0.15512321660181572</v>
      </c>
      <c r="O783" s="7">
        <f>3776+3</f>
        <v>3779</v>
      </c>
      <c r="Q783" s="3"/>
      <c r="R783" s="3"/>
      <c r="S783" s="6"/>
      <c r="T783" s="7"/>
      <c r="U783" s="7"/>
      <c r="V783" s="7"/>
      <c r="W783" s="7"/>
      <c r="X783" s="7"/>
      <c r="Y783" s="7"/>
      <c r="Z783" s="7"/>
      <c r="AA783" s="7"/>
      <c r="AB783" s="7"/>
      <c r="AC783" s="7"/>
      <c r="AD783" s="7"/>
      <c r="AE783" s="8"/>
      <c r="AF783" s="8"/>
      <c r="AG783" s="7"/>
    </row>
    <row r="784" spans="1:33" ht="19.7" customHeight="1" x14ac:dyDescent="0.25">
      <c r="A784" s="6">
        <v>45325</v>
      </c>
      <c r="B784" s="7">
        <f t="shared" ref="B784" si="1776">IF(SUM(C784:J784)="","",SUM(C784:J784))</f>
        <v>22712</v>
      </c>
      <c r="C784" s="7">
        <f>22484+92</f>
        <v>22576</v>
      </c>
      <c r="D784" s="7">
        <v>116</v>
      </c>
      <c r="E784" s="7">
        <v>20</v>
      </c>
      <c r="F784" s="7">
        <v>0</v>
      </c>
      <c r="G784" s="7">
        <v>0</v>
      </c>
      <c r="H784" s="7">
        <v>0</v>
      </c>
      <c r="I784" s="7">
        <v>0</v>
      </c>
      <c r="J784" s="7">
        <v>0</v>
      </c>
      <c r="K784" s="7">
        <f t="shared" ref="K784" si="1777">IF(B784=0,"",B784-B732)</f>
        <v>3340</v>
      </c>
      <c r="L784" s="7">
        <f t="shared" ref="L784" si="1778">IF(C784=0,"",C784-C732)</f>
        <v>3325</v>
      </c>
      <c r="M784" s="8">
        <f t="shared" ref="M784" si="1779">IF(K784="","",B784/B732-1)</f>
        <v>0.17241379310344818</v>
      </c>
      <c r="N784" s="8">
        <f t="shared" ref="N784" si="1780">IF(L784="","",C784/C732-1)</f>
        <v>0.17271830034803393</v>
      </c>
      <c r="O784" s="7">
        <f>3724+2</f>
        <v>3726</v>
      </c>
      <c r="Q784" s="3"/>
      <c r="R784" s="3"/>
      <c r="S784" s="6"/>
      <c r="T784" s="7"/>
      <c r="U784" s="7"/>
      <c r="V784" s="7"/>
      <c r="W784" s="7"/>
      <c r="X784" s="7"/>
      <c r="Y784" s="7"/>
      <c r="Z784" s="7"/>
      <c r="AA784" s="7"/>
      <c r="AB784" s="7"/>
      <c r="AC784" s="7"/>
      <c r="AD784" s="7"/>
      <c r="AE784" s="8"/>
      <c r="AF784" s="8"/>
      <c r="AG784" s="7"/>
    </row>
    <row r="785" spans="2:32" x14ac:dyDescent="0.25">
      <c r="B785" s="12" t="s">
        <v>19</v>
      </c>
      <c r="C785" s="3"/>
      <c r="D785" s="3"/>
      <c r="E785" s="3"/>
      <c r="F785" s="3"/>
      <c r="G785" s="3"/>
      <c r="H785" s="3"/>
      <c r="I785" s="3"/>
      <c r="J785" s="3"/>
      <c r="K785" s="3"/>
      <c r="L785" s="3"/>
      <c r="M785" s="4"/>
      <c r="N785" s="4"/>
      <c r="T785" s="12"/>
      <c r="U785" s="3"/>
      <c r="V785" s="3"/>
      <c r="W785" s="3"/>
      <c r="X785" s="3"/>
      <c r="Y785" s="3"/>
      <c r="Z785" s="3"/>
      <c r="AA785" s="3"/>
      <c r="AB785" s="3"/>
      <c r="AC785" s="3"/>
      <c r="AD785" s="3"/>
      <c r="AE785" s="4"/>
      <c r="AF785" s="4"/>
    </row>
    <row r="786" spans="2:32" x14ac:dyDescent="0.25">
      <c r="B786" s="15" t="s">
        <v>20</v>
      </c>
      <c r="C786" s="3"/>
      <c r="D786" s="3"/>
      <c r="E786" s="3"/>
      <c r="F786" s="3"/>
      <c r="G786" s="3"/>
      <c r="H786" s="3"/>
      <c r="I786" s="3"/>
      <c r="J786" s="3"/>
      <c r="K786" s="3"/>
      <c r="L786" s="3"/>
      <c r="M786" s="4"/>
      <c r="N786" s="4"/>
    </row>
    <row r="787" spans="2:32" ht="15" x14ac:dyDescent="0.25">
      <c r="B787" s="17" t="s">
        <v>22</v>
      </c>
      <c r="C787" s="3"/>
      <c r="D787" s="3"/>
      <c r="E787" s="3"/>
      <c r="F787" s="3"/>
      <c r="G787" s="3"/>
      <c r="H787" s="3"/>
      <c r="I787" s="3"/>
      <c r="J787" s="3"/>
      <c r="K787" s="3"/>
      <c r="L787" s="3"/>
      <c r="M787" s="4"/>
      <c r="N787" s="4"/>
    </row>
    <row r="788" spans="2:32" x14ac:dyDescent="0.25">
      <c r="B788" s="3"/>
      <c r="C788" s="3"/>
      <c r="D788" s="3"/>
      <c r="E788" s="3"/>
      <c r="F788" s="3"/>
      <c r="G788" s="3"/>
      <c r="H788" s="3"/>
      <c r="I788" s="3"/>
      <c r="J788" s="3"/>
      <c r="K788" s="3" t="str">
        <f>IF(B788=0,"",B788-B455)</f>
        <v/>
      </c>
      <c r="L788" s="3"/>
      <c r="M788" s="4"/>
      <c r="N788" s="4"/>
    </row>
    <row r="789" spans="2:32" x14ac:dyDescent="0.25">
      <c r="B789" s="3"/>
      <c r="C789" s="3"/>
      <c r="D789" s="3"/>
      <c r="E789" s="3"/>
      <c r="F789" s="3"/>
      <c r="G789" s="3"/>
      <c r="H789" s="3"/>
      <c r="I789" s="3"/>
      <c r="J789" s="3"/>
      <c r="K789" s="3" t="str">
        <f>IF(B789=0,"",B789-B456)</f>
        <v/>
      </c>
      <c r="L789" s="3"/>
      <c r="M789" s="4"/>
      <c r="N789" s="4"/>
    </row>
    <row r="790" spans="2:32" x14ac:dyDescent="0.25">
      <c r="B790" s="3"/>
      <c r="C790" s="3"/>
      <c r="D790" s="3"/>
      <c r="E790" s="3"/>
      <c r="F790" s="3"/>
      <c r="G790" s="3"/>
      <c r="H790" s="3"/>
      <c r="I790" s="3"/>
      <c r="J790" s="3"/>
      <c r="K790" s="3" t="str">
        <f>IF(B790=0,"",B790-B457)</f>
        <v/>
      </c>
      <c r="L790" s="3"/>
      <c r="M790" s="4"/>
      <c r="N790" s="4"/>
    </row>
    <row r="791" spans="2:32" x14ac:dyDescent="0.25">
      <c r="B791" s="3"/>
      <c r="C791" s="3"/>
      <c r="D791" s="3"/>
      <c r="E791" s="3"/>
      <c r="F791" s="3"/>
      <c r="G791" s="3"/>
      <c r="H791" s="3"/>
      <c r="I791" s="3"/>
      <c r="J791" s="3"/>
      <c r="K791" s="3" t="str">
        <f>IF(B791=0,"",B791-B458)</f>
        <v/>
      </c>
      <c r="L791" s="3"/>
      <c r="M791" s="4"/>
      <c r="N791" s="4"/>
    </row>
    <row r="792" spans="2:32" x14ac:dyDescent="0.25">
      <c r="B792" s="3"/>
      <c r="C792" s="3"/>
      <c r="D792" s="3"/>
      <c r="E792" s="3"/>
      <c r="F792" s="3"/>
      <c r="G792" s="3"/>
      <c r="H792" s="3"/>
      <c r="I792" s="3"/>
      <c r="J792" s="3"/>
      <c r="K792" s="3" t="str">
        <f>IF(B792=0,"",B792-B459)</f>
        <v/>
      </c>
      <c r="L792" s="3"/>
      <c r="M792" s="4"/>
      <c r="N792" s="4"/>
    </row>
    <row r="793" spans="2:32" x14ac:dyDescent="0.25">
      <c r="B793" s="3"/>
      <c r="C793" s="3"/>
      <c r="D793" s="3"/>
      <c r="E793" s="3"/>
      <c r="F793" s="3"/>
      <c r="G793" s="3"/>
      <c r="H793" s="3"/>
      <c r="I793" s="3"/>
      <c r="J793" s="3"/>
      <c r="K793" s="3" t="str">
        <f>IF(B793=0,"",B793-B460)</f>
        <v/>
      </c>
      <c r="L793" s="3"/>
      <c r="M793" s="4"/>
      <c r="N793" s="4"/>
    </row>
    <row r="794" spans="2:32" x14ac:dyDescent="0.25">
      <c r="B794" s="3"/>
      <c r="C794" s="3"/>
      <c r="D794" s="3"/>
      <c r="E794" s="3"/>
      <c r="F794" s="3"/>
      <c r="G794" s="3"/>
      <c r="H794" s="3"/>
      <c r="I794" s="3"/>
      <c r="J794" s="3"/>
      <c r="K794" s="3" t="str">
        <f>IF(B794=0,"",B794-B461)</f>
        <v/>
      </c>
      <c r="L794" s="3"/>
      <c r="M794" s="4"/>
      <c r="N794" s="4"/>
    </row>
    <row r="795" spans="2:32" x14ac:dyDescent="0.25">
      <c r="B795" s="3"/>
      <c r="C795" s="3"/>
      <c r="D795" s="3"/>
      <c r="E795" s="3"/>
      <c r="F795" s="3"/>
      <c r="G795" s="3"/>
      <c r="H795" s="3"/>
      <c r="I795" s="3"/>
      <c r="J795" s="3"/>
      <c r="K795" s="3" t="str">
        <f>IF(B795=0,"",B795-B462)</f>
        <v/>
      </c>
      <c r="L795" s="3"/>
      <c r="M795" s="4"/>
      <c r="N795" s="4"/>
    </row>
    <row r="796" spans="2:32" x14ac:dyDescent="0.25">
      <c r="B796" s="3"/>
      <c r="C796" s="3"/>
      <c r="D796" s="3"/>
      <c r="E796" s="3"/>
      <c r="F796" s="3"/>
      <c r="G796" s="3"/>
      <c r="H796" s="3"/>
      <c r="I796" s="3"/>
      <c r="J796" s="3"/>
      <c r="K796" s="3" t="str">
        <f>IF(B796=0,"",B796-B463)</f>
        <v/>
      </c>
      <c r="L796" s="3"/>
      <c r="M796" s="4"/>
      <c r="N796" s="4"/>
    </row>
    <row r="797" spans="2:32" x14ac:dyDescent="0.25">
      <c r="B797" s="3"/>
      <c r="C797" s="3"/>
      <c r="D797" s="3"/>
      <c r="E797" s="3"/>
      <c r="F797" s="3"/>
      <c r="G797" s="3"/>
      <c r="H797" s="3"/>
      <c r="I797" s="3"/>
      <c r="J797" s="3"/>
      <c r="K797" s="3" t="str">
        <f>IF(B797=0,"",B797-B464)</f>
        <v/>
      </c>
      <c r="L797" s="3"/>
      <c r="M797" s="4"/>
      <c r="N797" s="4"/>
    </row>
    <row r="798" spans="2:32" x14ac:dyDescent="0.25">
      <c r="B798" s="3"/>
      <c r="C798" s="3"/>
      <c r="D798" s="3"/>
      <c r="E798" s="3"/>
      <c r="F798" s="3"/>
      <c r="G798" s="3"/>
      <c r="H798" s="3"/>
      <c r="I798" s="3"/>
      <c r="J798" s="3"/>
      <c r="K798" s="3" t="str">
        <f>IF(B798=0,"",B798-B465)</f>
        <v/>
      </c>
      <c r="L798" s="3"/>
      <c r="M798" s="4"/>
      <c r="N798" s="4"/>
    </row>
    <row r="799" spans="2:32" x14ac:dyDescent="0.25">
      <c r="B799" s="3"/>
      <c r="C799" s="3"/>
      <c r="D799" s="3"/>
      <c r="E799" s="3"/>
      <c r="F799" s="3"/>
      <c r="G799" s="3"/>
      <c r="H799" s="3"/>
      <c r="I799" s="3"/>
      <c r="J799" s="3"/>
      <c r="K799" s="3" t="str">
        <f>IF(B799=0,"",B799-B466)</f>
        <v/>
      </c>
      <c r="L799" s="3"/>
      <c r="M799" s="4"/>
      <c r="N799" s="4"/>
    </row>
    <row r="800" spans="2:32" x14ac:dyDescent="0.25">
      <c r="B800" s="3"/>
      <c r="C800" s="3"/>
      <c r="D800" s="3"/>
      <c r="E800" s="3"/>
      <c r="F800" s="3"/>
      <c r="G800" s="3"/>
      <c r="H800" s="3"/>
      <c r="I800" s="3"/>
      <c r="J800" s="3"/>
      <c r="K800" s="3" t="str">
        <f>IF(B800=0,"",B800-B467)</f>
        <v/>
      </c>
      <c r="L800" s="3"/>
      <c r="M800" s="4"/>
      <c r="N800" s="4"/>
    </row>
    <row r="801" spans="2:14" x14ac:dyDescent="0.25">
      <c r="B801" s="3"/>
      <c r="C801" s="3"/>
      <c r="D801" s="3"/>
      <c r="E801" s="3"/>
      <c r="F801" s="3"/>
      <c r="G801" s="3"/>
      <c r="H801" s="3"/>
      <c r="I801" s="3"/>
      <c r="J801" s="3"/>
      <c r="K801" s="3" t="str">
        <f>IF(B801=0,"",B801-B468)</f>
        <v/>
      </c>
      <c r="L801" s="3"/>
      <c r="M801" s="4"/>
      <c r="N801" s="4"/>
    </row>
    <row r="802" spans="2:14" x14ac:dyDescent="0.25">
      <c r="B802" s="3"/>
      <c r="C802" s="3"/>
      <c r="D802" s="3"/>
      <c r="E802" s="3"/>
      <c r="F802" s="3"/>
      <c r="G802" s="3"/>
      <c r="H802" s="3"/>
      <c r="I802" s="3"/>
      <c r="J802" s="3"/>
      <c r="K802" s="3" t="str">
        <f>IF(B802=0,"",B802-B469)</f>
        <v/>
      </c>
      <c r="L802" s="3"/>
      <c r="M802" s="4"/>
      <c r="N802" s="4"/>
    </row>
    <row r="803" spans="2:14" x14ac:dyDescent="0.25">
      <c r="B803" s="3"/>
      <c r="C803" s="3"/>
      <c r="D803" s="3"/>
      <c r="E803" s="3"/>
      <c r="F803" s="3"/>
      <c r="G803" s="3"/>
      <c r="H803" s="3"/>
      <c r="I803" s="3"/>
      <c r="J803" s="3"/>
      <c r="K803" s="3" t="str">
        <f>IF(B803=0,"",B803-B470)</f>
        <v/>
      </c>
      <c r="L803" s="3"/>
      <c r="M803" s="4"/>
      <c r="N803" s="4"/>
    </row>
    <row r="804" spans="2:14" x14ac:dyDescent="0.25">
      <c r="B804" s="3"/>
      <c r="C804" s="3"/>
      <c r="D804" s="3"/>
      <c r="E804" s="3"/>
      <c r="F804" s="3"/>
      <c r="G804" s="3"/>
      <c r="H804" s="3"/>
      <c r="I804" s="3"/>
      <c r="J804" s="3"/>
      <c r="K804" s="3" t="str">
        <f>IF(B804=0,"",B804-B471)</f>
        <v/>
      </c>
      <c r="L804" s="3"/>
      <c r="M804" s="4"/>
      <c r="N804" s="4"/>
    </row>
    <row r="805" spans="2:14" x14ac:dyDescent="0.25">
      <c r="B805" s="3"/>
      <c r="C805" s="3"/>
      <c r="D805" s="3"/>
      <c r="E805" s="3"/>
      <c r="F805" s="3"/>
      <c r="G805" s="3"/>
      <c r="H805" s="3"/>
      <c r="I805" s="3"/>
      <c r="J805" s="3"/>
      <c r="K805" s="3" t="str">
        <f>IF(B805=0,"",B805-B472)</f>
        <v/>
      </c>
      <c r="L805" s="3"/>
      <c r="M805" s="4"/>
      <c r="N805" s="4"/>
    </row>
    <row r="806" spans="2:14" x14ac:dyDescent="0.25">
      <c r="B806" s="3"/>
      <c r="C806" s="3"/>
      <c r="D806" s="3"/>
      <c r="E806" s="3"/>
      <c r="F806" s="3"/>
      <c r="G806" s="3"/>
      <c r="H806" s="3"/>
      <c r="I806" s="3"/>
      <c r="J806" s="3"/>
      <c r="K806" s="3" t="str">
        <f>IF(B806=0,"",B806-B473)</f>
        <v/>
      </c>
      <c r="L806" s="3"/>
      <c r="M806" s="4"/>
      <c r="N806" s="4"/>
    </row>
    <row r="807" spans="2:14" x14ac:dyDescent="0.25">
      <c r="B807" s="3"/>
      <c r="C807" s="3"/>
      <c r="D807" s="3"/>
      <c r="E807" s="3"/>
      <c r="F807" s="3"/>
      <c r="G807" s="3"/>
      <c r="H807" s="3"/>
      <c r="I807" s="3"/>
      <c r="J807" s="3"/>
      <c r="K807" s="3" t="str">
        <f>IF(B807=0,"",B807-B474)</f>
        <v/>
      </c>
      <c r="L807" s="3"/>
      <c r="M807" s="4"/>
      <c r="N807" s="4"/>
    </row>
    <row r="808" spans="2:14" x14ac:dyDescent="0.25">
      <c r="B808" s="3"/>
      <c r="C808" s="3"/>
      <c r="D808" s="3"/>
      <c r="E808" s="3"/>
      <c r="F808" s="3"/>
      <c r="G808" s="3"/>
      <c r="H808" s="3"/>
      <c r="I808" s="3"/>
      <c r="J808" s="3"/>
      <c r="K808" s="3" t="str">
        <f>IF(B808=0,"",B808-B475)</f>
        <v/>
      </c>
      <c r="L808" s="3"/>
      <c r="M808" s="4"/>
      <c r="N808" s="4"/>
    </row>
    <row r="809" spans="2:14" x14ac:dyDescent="0.25">
      <c r="B809" s="3"/>
      <c r="C809" s="3"/>
      <c r="D809" s="3"/>
      <c r="E809" s="3"/>
      <c r="F809" s="3"/>
      <c r="G809" s="3"/>
      <c r="H809" s="3"/>
      <c r="I809" s="3"/>
      <c r="J809" s="3"/>
      <c r="K809" s="3" t="str">
        <f>IF(B809=0,"",B809-B476)</f>
        <v/>
      </c>
      <c r="L809" s="3"/>
      <c r="M809" s="4"/>
      <c r="N809" s="4"/>
    </row>
    <row r="810" spans="2:14" x14ac:dyDescent="0.25">
      <c r="B810" s="3"/>
      <c r="C810" s="3"/>
      <c r="D810" s="3"/>
      <c r="E810" s="3"/>
      <c r="F810" s="3"/>
      <c r="G810" s="3"/>
      <c r="H810" s="3"/>
      <c r="I810" s="3"/>
      <c r="J810" s="3"/>
      <c r="K810" s="3" t="str">
        <f>IF(B810=0,"",B810-B477)</f>
        <v/>
      </c>
      <c r="L810" s="3"/>
      <c r="M810" s="4"/>
      <c r="N810" s="4"/>
    </row>
    <row r="811" spans="2:14" x14ac:dyDescent="0.25">
      <c r="B811" s="3"/>
      <c r="C811" s="3"/>
      <c r="D811" s="3"/>
      <c r="E811" s="3"/>
      <c r="F811" s="3"/>
      <c r="G811" s="3"/>
      <c r="H811" s="3"/>
      <c r="I811" s="3"/>
      <c r="J811" s="3"/>
      <c r="K811" s="3" t="str">
        <f>IF(B811=0,"",B811-B478)</f>
        <v/>
      </c>
      <c r="L811" s="3"/>
      <c r="M811" s="4"/>
      <c r="N811" s="4"/>
    </row>
    <row r="812" spans="2:14" x14ac:dyDescent="0.25">
      <c r="B812" s="3"/>
      <c r="C812" s="3"/>
      <c r="D812" s="3"/>
      <c r="E812" s="3"/>
      <c r="F812" s="3"/>
      <c r="G812" s="3"/>
      <c r="H812" s="3"/>
      <c r="I812" s="3"/>
      <c r="J812" s="3"/>
      <c r="K812" s="3" t="str">
        <f>IF(B812=0,"",B812-B479)</f>
        <v/>
      </c>
      <c r="L812" s="3"/>
      <c r="M812" s="4"/>
      <c r="N812" s="4"/>
    </row>
    <row r="813" spans="2:14" x14ac:dyDescent="0.25">
      <c r="B813" s="3"/>
      <c r="C813" s="3"/>
      <c r="D813" s="3"/>
      <c r="E813" s="3"/>
      <c r="F813" s="3"/>
      <c r="G813" s="3"/>
      <c r="H813" s="3"/>
      <c r="I813" s="3"/>
      <c r="J813" s="3"/>
      <c r="K813" s="3" t="str">
        <f>IF(B813=0,"",B813-B480)</f>
        <v/>
      </c>
      <c r="L813" s="3"/>
      <c r="M813" s="4"/>
      <c r="N813" s="4"/>
    </row>
    <row r="814" spans="2:14" x14ac:dyDescent="0.25">
      <c r="B814" s="3"/>
      <c r="C814" s="3"/>
      <c r="D814" s="3"/>
      <c r="E814" s="3"/>
      <c r="F814" s="3"/>
      <c r="G814" s="3"/>
      <c r="H814" s="3"/>
      <c r="I814" s="3"/>
      <c r="J814" s="3"/>
      <c r="K814" s="3" t="str">
        <f>IF(B814=0,"",B814-B481)</f>
        <v/>
      </c>
      <c r="L814" s="3"/>
      <c r="M814" s="4"/>
      <c r="N814" s="4"/>
    </row>
    <row r="815" spans="2:14" x14ac:dyDescent="0.25">
      <c r="B815" s="3"/>
      <c r="C815" s="3"/>
      <c r="D815" s="3"/>
      <c r="E815" s="3"/>
      <c r="F815" s="3"/>
      <c r="G815" s="3"/>
      <c r="H815" s="3"/>
      <c r="I815" s="3"/>
      <c r="J815" s="3"/>
      <c r="K815" s="3" t="str">
        <f>IF(B815=0,"",B815-B482)</f>
        <v/>
      </c>
      <c r="L815" s="3"/>
      <c r="M815" s="4"/>
      <c r="N815" s="4"/>
    </row>
    <row r="816" spans="2:14" x14ac:dyDescent="0.25">
      <c r="B816" s="3"/>
      <c r="C816" s="3"/>
      <c r="D816" s="3"/>
      <c r="E816" s="3"/>
      <c r="F816" s="3"/>
      <c r="G816" s="3"/>
      <c r="H816" s="3"/>
      <c r="I816" s="3"/>
      <c r="J816" s="3"/>
      <c r="K816" s="3" t="str">
        <f>IF(B816=0,"",B816-B483)</f>
        <v/>
      </c>
      <c r="L816" s="3"/>
      <c r="M816" s="4"/>
      <c r="N816" s="4"/>
    </row>
    <row r="817" spans="2:14" x14ac:dyDescent="0.25">
      <c r="B817" s="3"/>
      <c r="C817" s="3"/>
      <c r="D817" s="3"/>
      <c r="E817" s="3"/>
      <c r="F817" s="3"/>
      <c r="G817" s="3"/>
      <c r="H817" s="3"/>
      <c r="I817" s="3"/>
      <c r="J817" s="3"/>
      <c r="K817" s="3" t="str">
        <f>IF(B817=0,"",B817-B484)</f>
        <v/>
      </c>
      <c r="L817" s="3"/>
      <c r="M817" s="4"/>
      <c r="N817" s="4"/>
    </row>
    <row r="818" spans="2:14" x14ac:dyDescent="0.25">
      <c r="B818" s="3"/>
      <c r="C818" s="3"/>
      <c r="D818" s="3"/>
      <c r="E818" s="3"/>
      <c r="F818" s="3"/>
      <c r="G818" s="3"/>
      <c r="H818" s="3"/>
      <c r="I818" s="3"/>
      <c r="J818" s="3"/>
      <c r="K818" s="3" t="str">
        <f>IF(B818=0,"",B818-B485)</f>
        <v/>
      </c>
      <c r="L818" s="3"/>
      <c r="M818" s="4"/>
      <c r="N818" s="4"/>
    </row>
    <row r="819" spans="2:14" x14ac:dyDescent="0.25">
      <c r="B819" s="3"/>
      <c r="C819" s="3"/>
      <c r="D819" s="3"/>
      <c r="E819" s="3"/>
      <c r="F819" s="3"/>
      <c r="G819" s="3"/>
      <c r="H819" s="3"/>
      <c r="I819" s="3"/>
      <c r="J819" s="3"/>
      <c r="K819" s="3" t="str">
        <f>IF(B819=0,"",B819-B486)</f>
        <v/>
      </c>
      <c r="L819" s="3"/>
      <c r="M819" s="4"/>
      <c r="N819" s="4"/>
    </row>
    <row r="820" spans="2:14" x14ac:dyDescent="0.25">
      <c r="B820" s="3"/>
      <c r="C820" s="3"/>
      <c r="D820" s="3"/>
      <c r="E820" s="3"/>
      <c r="F820" s="3"/>
      <c r="G820" s="3"/>
      <c r="H820" s="3"/>
      <c r="I820" s="3"/>
      <c r="J820" s="3"/>
      <c r="K820" s="3" t="str">
        <f>IF(B820=0,"",B820-B487)</f>
        <v/>
      </c>
      <c r="L820" s="3"/>
      <c r="M820" s="4"/>
      <c r="N820" s="4"/>
    </row>
    <row r="821" spans="2:14" x14ac:dyDescent="0.25">
      <c r="B821" s="3"/>
      <c r="C821" s="3"/>
      <c r="D821" s="3"/>
      <c r="E821" s="3"/>
      <c r="F821" s="3"/>
      <c r="G821" s="3"/>
      <c r="H821" s="3"/>
      <c r="I821" s="3"/>
      <c r="J821" s="3"/>
      <c r="K821" s="3" t="str">
        <f>IF(B821=0,"",B821-B488)</f>
        <v/>
      </c>
      <c r="L821" s="3"/>
      <c r="M821" s="4"/>
      <c r="N821" s="4"/>
    </row>
    <row r="822" spans="2:14" x14ac:dyDescent="0.25">
      <c r="B822" s="3"/>
      <c r="C822" s="3"/>
      <c r="D822" s="3"/>
      <c r="E822" s="3"/>
      <c r="F822" s="3"/>
      <c r="G822" s="3"/>
      <c r="H822" s="3"/>
      <c r="I822" s="3"/>
      <c r="J822" s="3"/>
      <c r="K822" s="3" t="str">
        <f>IF(B822=0,"",B822-B489)</f>
        <v/>
      </c>
      <c r="L822" s="3"/>
      <c r="M822" s="4"/>
      <c r="N822" s="4"/>
    </row>
    <row r="823" spans="2:14" x14ac:dyDescent="0.25">
      <c r="B823" s="3"/>
      <c r="C823" s="3"/>
      <c r="D823" s="3"/>
      <c r="E823" s="3"/>
      <c r="F823" s="3"/>
      <c r="G823" s="3"/>
      <c r="H823" s="3"/>
      <c r="I823" s="3"/>
      <c r="J823" s="3"/>
      <c r="K823" s="3" t="str">
        <f>IF(B823=0,"",B823-B490)</f>
        <v/>
      </c>
      <c r="L823" s="3"/>
      <c r="M823" s="4"/>
      <c r="N823" s="4"/>
    </row>
    <row r="824" spans="2:14" x14ac:dyDescent="0.25">
      <c r="B824" s="3"/>
      <c r="C824" s="3"/>
      <c r="D824" s="3"/>
      <c r="E824" s="3"/>
      <c r="F824" s="3"/>
      <c r="G824" s="3"/>
      <c r="H824" s="3"/>
      <c r="I824" s="3"/>
      <c r="J824" s="3"/>
      <c r="K824" s="3" t="str">
        <f>IF(B824=0,"",B824-B491)</f>
        <v/>
      </c>
      <c r="L824" s="3"/>
      <c r="M824" s="4"/>
      <c r="N824" s="4"/>
    </row>
    <row r="825" spans="2:14" x14ac:dyDescent="0.25">
      <c r="B825" s="3"/>
      <c r="C825" s="3"/>
      <c r="D825" s="3"/>
      <c r="E825" s="3"/>
      <c r="F825" s="3"/>
      <c r="G825" s="3"/>
      <c r="H825" s="3"/>
      <c r="I825" s="3"/>
      <c r="J825" s="3"/>
      <c r="K825" s="3" t="str">
        <f>IF(B825=0,"",B825-B492)</f>
        <v/>
      </c>
      <c r="L825" s="3"/>
      <c r="M825" s="4"/>
      <c r="N825" s="4"/>
    </row>
    <row r="826" spans="2:14" x14ac:dyDescent="0.25">
      <c r="B826" s="3"/>
      <c r="C826" s="3"/>
      <c r="D826" s="3"/>
      <c r="E826" s="3"/>
      <c r="F826" s="3"/>
      <c r="G826" s="3"/>
      <c r="H826" s="3"/>
      <c r="I826" s="3"/>
      <c r="J826" s="3"/>
      <c r="K826" s="3" t="str">
        <f>IF(B826=0,"",B826-B493)</f>
        <v/>
      </c>
      <c r="L826" s="3"/>
      <c r="M826" s="4"/>
      <c r="N826" s="4"/>
    </row>
    <row r="827" spans="2:14" x14ac:dyDescent="0.25">
      <c r="B827" s="3"/>
      <c r="C827" s="3"/>
      <c r="D827" s="3"/>
      <c r="E827" s="3"/>
      <c r="F827" s="3"/>
      <c r="G827" s="3"/>
      <c r="H827" s="3"/>
      <c r="I827" s="3"/>
      <c r="J827" s="3"/>
      <c r="K827" s="3" t="str">
        <f>IF(B827=0,"",B827-B494)</f>
        <v/>
      </c>
      <c r="L827" s="3"/>
      <c r="M827" s="4"/>
      <c r="N827" s="4"/>
    </row>
    <row r="828" spans="2:14" x14ac:dyDescent="0.25">
      <c r="B828" s="3"/>
      <c r="C828" s="3"/>
      <c r="D828" s="3"/>
      <c r="E828" s="3"/>
      <c r="F828" s="3"/>
      <c r="G828" s="3"/>
      <c r="H828" s="3"/>
      <c r="I828" s="3"/>
      <c r="J828" s="3"/>
      <c r="K828" s="3" t="str">
        <f>IF(B828=0,"",B828-B495)</f>
        <v/>
      </c>
      <c r="L828" s="3"/>
      <c r="M828" s="4"/>
      <c r="N828" s="4"/>
    </row>
    <row r="829" spans="2:14" x14ac:dyDescent="0.25">
      <c r="B829" s="3"/>
      <c r="C829" s="3"/>
      <c r="D829" s="3"/>
      <c r="E829" s="3"/>
      <c r="F829" s="3"/>
      <c r="G829" s="3"/>
      <c r="H829" s="3"/>
      <c r="I829" s="3"/>
      <c r="J829" s="3"/>
      <c r="K829" s="3" t="str">
        <f>IF(B829=0,"",B829-B496)</f>
        <v/>
      </c>
      <c r="L829" s="3"/>
      <c r="M829" s="4"/>
      <c r="N829" s="4"/>
    </row>
    <row r="830" spans="2:14" x14ac:dyDescent="0.25">
      <c r="B830" s="3"/>
      <c r="C830" s="3"/>
      <c r="D830" s="3"/>
      <c r="E830" s="3"/>
      <c r="F830" s="3"/>
      <c r="G830" s="3"/>
      <c r="H830" s="3"/>
      <c r="I830" s="3"/>
      <c r="J830" s="3"/>
      <c r="K830" s="3" t="str">
        <f>IF(B830=0,"",B830-B498)</f>
        <v/>
      </c>
      <c r="L830" s="3"/>
      <c r="M830" s="4"/>
      <c r="N830" s="4"/>
    </row>
    <row r="831" spans="2:14" x14ac:dyDescent="0.25">
      <c r="B831" s="3"/>
      <c r="C831" s="3"/>
      <c r="D831" s="3"/>
      <c r="E831" s="3"/>
      <c r="F831" s="3"/>
      <c r="G831" s="3"/>
      <c r="H831" s="3"/>
      <c r="I831" s="3"/>
      <c r="J831" s="3"/>
      <c r="K831" s="3" t="str">
        <f>IF(B831=0,"",B831-B499)</f>
        <v/>
      </c>
      <c r="L831" s="3"/>
      <c r="M831" s="4"/>
      <c r="N831" s="4"/>
    </row>
    <row r="832" spans="2:14" x14ac:dyDescent="0.25">
      <c r="B832" s="3"/>
      <c r="C832" s="3"/>
      <c r="D832" s="3"/>
      <c r="E832" s="3"/>
      <c r="F832" s="3"/>
      <c r="G832" s="3"/>
      <c r="H832" s="3"/>
      <c r="I832" s="3"/>
      <c r="J832" s="3"/>
      <c r="K832" s="3" t="str">
        <f>IF(B832=0,"",B832-B500)</f>
        <v/>
      </c>
      <c r="L832" s="3"/>
      <c r="M832" s="4"/>
      <c r="N832" s="4"/>
    </row>
    <row r="833" spans="2:14" x14ac:dyDescent="0.25">
      <c r="B833" s="3"/>
      <c r="C833" s="3"/>
      <c r="D833" s="3"/>
      <c r="E833" s="3"/>
      <c r="F833" s="3"/>
      <c r="G833" s="3"/>
      <c r="H833" s="3"/>
      <c r="I833" s="3"/>
      <c r="J833" s="3"/>
      <c r="K833" s="3" t="str">
        <f>IF(B833=0,"",B833-#REF!)</f>
        <v/>
      </c>
      <c r="L833" s="3"/>
      <c r="M833" s="4"/>
      <c r="N833" s="4"/>
    </row>
    <row r="834" spans="2:14" x14ac:dyDescent="0.25">
      <c r="B834" s="3"/>
      <c r="C834" s="3"/>
      <c r="D834" s="3"/>
      <c r="E834" s="3"/>
      <c r="F834" s="3"/>
      <c r="G834" s="3"/>
      <c r="H834" s="3"/>
      <c r="I834" s="3"/>
      <c r="J834" s="3"/>
      <c r="K834" s="3" t="str">
        <f>IF(B834=0,"",B834-#REF!)</f>
        <v/>
      </c>
      <c r="L834" s="3"/>
      <c r="M834" s="4"/>
      <c r="N834" s="4"/>
    </row>
    <row r="835" spans="2:14" x14ac:dyDescent="0.25">
      <c r="B835" s="3"/>
      <c r="C835" s="3"/>
      <c r="D835" s="3"/>
      <c r="E835" s="3"/>
      <c r="F835" s="3"/>
      <c r="G835" s="3"/>
      <c r="H835" s="3"/>
      <c r="I835" s="3"/>
      <c r="J835" s="3"/>
      <c r="K835" s="3" t="str">
        <f>IF(B835=0,"",B835-B785)</f>
        <v/>
      </c>
      <c r="L835" s="3"/>
      <c r="M835" s="4"/>
      <c r="N835" s="4"/>
    </row>
    <row r="836" spans="2:14" x14ac:dyDescent="0.25">
      <c r="B836" s="3"/>
      <c r="C836" s="3"/>
      <c r="D836" s="3"/>
      <c r="E836" s="3"/>
      <c r="F836" s="3"/>
      <c r="G836" s="3"/>
      <c r="H836" s="3"/>
      <c r="I836" s="3"/>
      <c r="J836" s="3"/>
      <c r="K836" s="3" t="str">
        <f>IF(B836=0,"",B836-B786)</f>
        <v/>
      </c>
      <c r="L836" s="3"/>
      <c r="M836" s="4"/>
      <c r="N836" s="4"/>
    </row>
    <row r="837" spans="2:14" x14ac:dyDescent="0.25">
      <c r="B837" s="3"/>
      <c r="C837" s="3"/>
      <c r="D837" s="3"/>
      <c r="E837" s="3"/>
      <c r="F837" s="3"/>
      <c r="G837" s="3"/>
      <c r="H837" s="3"/>
      <c r="I837" s="3"/>
      <c r="J837" s="3"/>
      <c r="K837" s="3" t="str">
        <f>IF(B837=0,"",B837-B787)</f>
        <v/>
      </c>
      <c r="L837" s="3"/>
      <c r="M837" s="4"/>
      <c r="N837" s="4"/>
    </row>
    <row r="838" spans="2:14" x14ac:dyDescent="0.25">
      <c r="B838" s="3"/>
      <c r="C838" s="3"/>
      <c r="D838" s="3"/>
      <c r="E838" s="3"/>
      <c r="F838" s="3"/>
      <c r="G838" s="3"/>
      <c r="H838" s="3"/>
      <c r="I838" s="3"/>
      <c r="J838" s="3"/>
      <c r="K838" s="3" t="str">
        <f>IF(B838=0,"",B838-#REF!)</f>
        <v/>
      </c>
      <c r="L838" s="3"/>
      <c r="M838" s="4"/>
      <c r="N838" s="4"/>
    </row>
    <row r="839" spans="2:14" x14ac:dyDescent="0.25">
      <c r="B839" s="3"/>
      <c r="C839" s="3"/>
      <c r="D839" s="3"/>
      <c r="E839" s="3"/>
      <c r="F839" s="3"/>
      <c r="G839" s="3"/>
      <c r="H839" s="3"/>
      <c r="I839" s="3"/>
      <c r="J839" s="3"/>
      <c r="K839" s="3" t="str">
        <f>IF(B839=0,"",B839-#REF!)</f>
        <v/>
      </c>
      <c r="L839" s="3"/>
      <c r="M839" s="4"/>
      <c r="N839" s="4"/>
    </row>
    <row r="840" spans="2:14" x14ac:dyDescent="0.25">
      <c r="B840" s="3"/>
      <c r="C840" s="3"/>
      <c r="D840" s="3"/>
      <c r="E840" s="3"/>
      <c r="F840" s="3"/>
      <c r="G840" s="3"/>
      <c r="H840" s="3"/>
      <c r="I840" s="3"/>
      <c r="J840" s="3"/>
      <c r="K840" s="3" t="str">
        <f t="shared" ref="K840:K868" si="1781">IF(B840=0,"",B840-B788)</f>
        <v/>
      </c>
      <c r="L840" s="3"/>
      <c r="M840" s="4"/>
      <c r="N840" s="4"/>
    </row>
    <row r="841" spans="2:14" x14ac:dyDescent="0.25">
      <c r="B841" s="3"/>
      <c r="C841" s="3"/>
      <c r="D841" s="3"/>
      <c r="E841" s="3"/>
      <c r="F841" s="3"/>
      <c r="G841" s="3"/>
      <c r="H841" s="3"/>
      <c r="I841" s="3"/>
      <c r="J841" s="3"/>
      <c r="K841" s="3" t="str">
        <f t="shared" si="1781"/>
        <v/>
      </c>
      <c r="L841" s="3"/>
      <c r="M841" s="4"/>
      <c r="N841" s="4"/>
    </row>
    <row r="842" spans="2:14" x14ac:dyDescent="0.25">
      <c r="B842" s="3"/>
      <c r="C842" s="3"/>
      <c r="D842" s="3"/>
      <c r="E842" s="3"/>
      <c r="F842" s="3"/>
      <c r="G842" s="3"/>
      <c r="H842" s="3"/>
      <c r="I842" s="3"/>
      <c r="J842" s="3"/>
      <c r="K842" s="3" t="str">
        <f t="shared" si="1781"/>
        <v/>
      </c>
      <c r="L842" s="3"/>
      <c r="M842" s="4"/>
      <c r="N842" s="4"/>
    </row>
    <row r="843" spans="2:14" x14ac:dyDescent="0.25">
      <c r="B843" s="3"/>
      <c r="C843" s="3"/>
      <c r="D843" s="3"/>
      <c r="E843" s="3"/>
      <c r="F843" s="3"/>
      <c r="G843" s="3"/>
      <c r="H843" s="3"/>
      <c r="I843" s="3"/>
      <c r="J843" s="3"/>
      <c r="K843" s="3" t="str">
        <f t="shared" si="1781"/>
        <v/>
      </c>
      <c r="L843" s="3"/>
      <c r="M843" s="4"/>
      <c r="N843" s="4"/>
    </row>
    <row r="844" spans="2:14" x14ac:dyDescent="0.25">
      <c r="B844" s="3"/>
      <c r="C844" s="3"/>
      <c r="D844" s="3"/>
      <c r="E844" s="3"/>
      <c r="F844" s="3"/>
      <c r="G844" s="3"/>
      <c r="H844" s="3"/>
      <c r="I844" s="3"/>
      <c r="J844" s="3"/>
      <c r="K844" s="3" t="str">
        <f t="shared" si="1781"/>
        <v/>
      </c>
      <c r="L844" s="3"/>
      <c r="M844" s="4"/>
      <c r="N844" s="4"/>
    </row>
    <row r="845" spans="2:14" x14ac:dyDescent="0.25">
      <c r="B845" s="3"/>
      <c r="C845" s="3"/>
      <c r="D845" s="3"/>
      <c r="E845" s="3"/>
      <c r="F845" s="3"/>
      <c r="G845" s="3"/>
      <c r="H845" s="3"/>
      <c r="I845" s="3"/>
      <c r="J845" s="3"/>
      <c r="K845" s="3" t="str">
        <f t="shared" si="1781"/>
        <v/>
      </c>
      <c r="L845" s="3"/>
      <c r="M845" s="4"/>
      <c r="N845" s="4"/>
    </row>
    <row r="846" spans="2:14" x14ac:dyDescent="0.25">
      <c r="B846" s="3"/>
      <c r="C846" s="3"/>
      <c r="D846" s="3"/>
      <c r="E846" s="3"/>
      <c r="F846" s="3"/>
      <c r="G846" s="3"/>
      <c r="H846" s="3"/>
      <c r="I846" s="3"/>
      <c r="J846" s="3"/>
      <c r="K846" s="3" t="str">
        <f t="shared" si="1781"/>
        <v/>
      </c>
      <c r="L846" s="3"/>
      <c r="M846" s="4"/>
      <c r="N846" s="4"/>
    </row>
    <row r="847" spans="2:14" x14ac:dyDescent="0.25">
      <c r="B847" s="3"/>
      <c r="C847" s="3"/>
      <c r="D847" s="3"/>
      <c r="E847" s="3"/>
      <c r="F847" s="3"/>
      <c r="G847" s="3"/>
      <c r="H847" s="3"/>
      <c r="I847" s="3"/>
      <c r="J847" s="3"/>
      <c r="K847" s="3" t="str">
        <f t="shared" si="1781"/>
        <v/>
      </c>
      <c r="L847" s="3"/>
      <c r="M847" s="4"/>
      <c r="N847" s="4"/>
    </row>
    <row r="848" spans="2:14" x14ac:dyDescent="0.25">
      <c r="B848" s="3"/>
      <c r="C848" s="3"/>
      <c r="D848" s="3"/>
      <c r="E848" s="3"/>
      <c r="F848" s="3"/>
      <c r="G848" s="3"/>
      <c r="H848" s="3"/>
      <c r="I848" s="3"/>
      <c r="J848" s="3"/>
      <c r="K848" s="3" t="str">
        <f t="shared" si="1781"/>
        <v/>
      </c>
      <c r="L848" s="3"/>
      <c r="M848" s="4"/>
      <c r="N848" s="4"/>
    </row>
    <row r="849" spans="2:14" x14ac:dyDescent="0.25">
      <c r="B849" s="3"/>
      <c r="C849" s="3"/>
      <c r="D849" s="3"/>
      <c r="E849" s="3"/>
      <c r="F849" s="3"/>
      <c r="G849" s="3"/>
      <c r="H849" s="3"/>
      <c r="I849" s="3"/>
      <c r="J849" s="3"/>
      <c r="K849" s="3" t="str">
        <f t="shared" si="1781"/>
        <v/>
      </c>
      <c r="L849" s="3"/>
      <c r="M849" s="4"/>
      <c r="N849" s="4"/>
    </row>
    <row r="850" spans="2:14" x14ac:dyDescent="0.25">
      <c r="B850" s="3"/>
      <c r="C850" s="3"/>
      <c r="D850" s="3"/>
      <c r="E850" s="3"/>
      <c r="F850" s="3"/>
      <c r="G850" s="3"/>
      <c r="H850" s="3"/>
      <c r="I850" s="3"/>
      <c r="J850" s="3"/>
      <c r="K850" s="3" t="str">
        <f t="shared" si="1781"/>
        <v/>
      </c>
      <c r="L850" s="3"/>
      <c r="M850" s="4"/>
      <c r="N850" s="4"/>
    </row>
    <row r="851" spans="2:14" x14ac:dyDescent="0.25">
      <c r="B851" s="3"/>
      <c r="C851" s="3"/>
      <c r="D851" s="3"/>
      <c r="E851" s="3"/>
      <c r="F851" s="3"/>
      <c r="G851" s="3"/>
      <c r="H851" s="3"/>
      <c r="I851" s="3"/>
      <c r="J851" s="3"/>
      <c r="K851" s="3" t="str">
        <f t="shared" si="1781"/>
        <v/>
      </c>
      <c r="L851" s="3"/>
      <c r="M851" s="4"/>
      <c r="N851" s="4"/>
    </row>
    <row r="852" spans="2:14" x14ac:dyDescent="0.25">
      <c r="B852" s="3"/>
      <c r="C852" s="3"/>
      <c r="D852" s="3"/>
      <c r="E852" s="3"/>
      <c r="F852" s="3"/>
      <c r="G852" s="3"/>
      <c r="H852" s="3"/>
      <c r="I852" s="3"/>
      <c r="J852" s="3"/>
      <c r="K852" s="3" t="str">
        <f t="shared" si="1781"/>
        <v/>
      </c>
      <c r="L852" s="3"/>
      <c r="M852" s="4"/>
      <c r="N852" s="4"/>
    </row>
    <row r="853" spans="2:14" x14ac:dyDescent="0.25">
      <c r="B853" s="3"/>
      <c r="C853" s="3"/>
      <c r="D853" s="3"/>
      <c r="E853" s="3"/>
      <c r="F853" s="3"/>
      <c r="G853" s="3"/>
      <c r="H853" s="3"/>
      <c r="I853" s="3"/>
      <c r="J853" s="3"/>
      <c r="K853" s="3" t="str">
        <f t="shared" si="1781"/>
        <v/>
      </c>
      <c r="L853" s="3"/>
      <c r="M853" s="4"/>
      <c r="N853" s="4"/>
    </row>
    <row r="854" spans="2:14" x14ac:dyDescent="0.25">
      <c r="B854" s="3"/>
      <c r="C854" s="3"/>
      <c r="D854" s="3"/>
      <c r="E854" s="3"/>
      <c r="F854" s="3"/>
      <c r="G854" s="3"/>
      <c r="H854" s="3"/>
      <c r="I854" s="3"/>
      <c r="J854" s="3"/>
      <c r="K854" s="3" t="str">
        <f t="shared" si="1781"/>
        <v/>
      </c>
      <c r="L854" s="3"/>
      <c r="M854" s="4"/>
      <c r="N854" s="4"/>
    </row>
    <row r="855" spans="2:14" x14ac:dyDescent="0.25">
      <c r="B855" s="3"/>
      <c r="C855" s="3"/>
      <c r="D855" s="3"/>
      <c r="E855" s="3"/>
      <c r="F855" s="3"/>
      <c r="G855" s="3"/>
      <c r="H855" s="3"/>
      <c r="I855" s="3"/>
      <c r="J855" s="3"/>
      <c r="K855" s="3" t="str">
        <f t="shared" si="1781"/>
        <v/>
      </c>
      <c r="L855" s="3"/>
      <c r="M855" s="4"/>
      <c r="N855" s="4"/>
    </row>
    <row r="856" spans="2:14" x14ac:dyDescent="0.25">
      <c r="B856" s="3"/>
      <c r="C856" s="3"/>
      <c r="D856" s="3"/>
      <c r="E856" s="3"/>
      <c r="F856" s="3"/>
      <c r="G856" s="3"/>
      <c r="H856" s="3"/>
      <c r="I856" s="3"/>
      <c r="J856" s="3"/>
      <c r="K856" s="3" t="str">
        <f t="shared" si="1781"/>
        <v/>
      </c>
      <c r="L856" s="3"/>
      <c r="M856" s="4"/>
      <c r="N856" s="4"/>
    </row>
    <row r="857" spans="2:14" x14ac:dyDescent="0.25">
      <c r="B857" s="3"/>
      <c r="C857" s="3"/>
      <c r="D857" s="3"/>
      <c r="E857" s="3"/>
      <c r="F857" s="3"/>
      <c r="G857" s="3"/>
      <c r="H857" s="3"/>
      <c r="I857" s="3"/>
      <c r="J857" s="3"/>
      <c r="K857" s="3" t="str">
        <f t="shared" si="1781"/>
        <v/>
      </c>
      <c r="L857" s="3"/>
      <c r="M857" s="4"/>
      <c r="N857" s="4"/>
    </row>
    <row r="858" spans="2:14" x14ac:dyDescent="0.25">
      <c r="B858" s="3"/>
      <c r="C858" s="3"/>
      <c r="D858" s="3"/>
      <c r="E858" s="3"/>
      <c r="F858" s="3"/>
      <c r="G858" s="3"/>
      <c r="H858" s="3"/>
      <c r="I858" s="3"/>
      <c r="J858" s="3"/>
      <c r="K858" s="3" t="str">
        <f t="shared" si="1781"/>
        <v/>
      </c>
      <c r="L858" s="3"/>
      <c r="M858" s="4"/>
      <c r="N858" s="4"/>
    </row>
    <row r="859" spans="2:14" x14ac:dyDescent="0.25">
      <c r="B859" s="3"/>
      <c r="C859" s="3"/>
      <c r="D859" s="3"/>
      <c r="E859" s="3"/>
      <c r="F859" s="3"/>
      <c r="G859" s="3"/>
      <c r="H859" s="3"/>
      <c r="I859" s="3"/>
      <c r="J859" s="3"/>
      <c r="K859" s="3" t="str">
        <f t="shared" si="1781"/>
        <v/>
      </c>
      <c r="L859" s="3"/>
      <c r="M859" s="4"/>
      <c r="N859" s="4"/>
    </row>
    <row r="860" spans="2:14" x14ac:dyDescent="0.25">
      <c r="B860" s="3"/>
      <c r="C860" s="3"/>
      <c r="D860" s="3"/>
      <c r="E860" s="3"/>
      <c r="F860" s="3"/>
      <c r="G860" s="3"/>
      <c r="H860" s="3"/>
      <c r="I860" s="3"/>
      <c r="J860" s="3"/>
      <c r="K860" s="3" t="str">
        <f t="shared" si="1781"/>
        <v/>
      </c>
      <c r="L860" s="3"/>
      <c r="M860" s="4"/>
      <c r="N860" s="4"/>
    </row>
    <row r="861" spans="2:14" x14ac:dyDescent="0.25">
      <c r="B861" s="3"/>
      <c r="C861" s="3"/>
      <c r="D861" s="3"/>
      <c r="E861" s="3"/>
      <c r="F861" s="3"/>
      <c r="G861" s="3"/>
      <c r="H861" s="3"/>
      <c r="I861" s="3"/>
      <c r="J861" s="3"/>
      <c r="K861" s="3" t="str">
        <f t="shared" si="1781"/>
        <v/>
      </c>
      <c r="L861" s="3"/>
      <c r="M861" s="4"/>
      <c r="N861" s="4"/>
    </row>
    <row r="862" spans="2:14" x14ac:dyDescent="0.25">
      <c r="B862" s="3"/>
      <c r="C862" s="3"/>
      <c r="D862" s="3"/>
      <c r="E862" s="3"/>
      <c r="F862" s="3"/>
      <c r="G862" s="3"/>
      <c r="H862" s="3"/>
      <c r="I862" s="3"/>
      <c r="J862" s="3"/>
      <c r="K862" s="3" t="str">
        <f t="shared" si="1781"/>
        <v/>
      </c>
      <c r="L862" s="3"/>
      <c r="M862" s="4"/>
      <c r="N862" s="4"/>
    </row>
    <row r="863" spans="2:14" x14ac:dyDescent="0.25">
      <c r="B863" s="3"/>
      <c r="C863" s="3"/>
      <c r="D863" s="3"/>
      <c r="E863" s="3"/>
      <c r="F863" s="3"/>
      <c r="G863" s="3"/>
      <c r="H863" s="3"/>
      <c r="I863" s="3"/>
      <c r="J863" s="3"/>
      <c r="K863" s="3" t="str">
        <f t="shared" si="1781"/>
        <v/>
      </c>
      <c r="L863" s="3"/>
      <c r="M863" s="4"/>
      <c r="N863" s="4"/>
    </row>
    <row r="864" spans="2:14" x14ac:dyDescent="0.25">
      <c r="B864" s="3"/>
      <c r="C864" s="3"/>
      <c r="D864" s="3"/>
      <c r="E864" s="3"/>
      <c r="F864" s="3"/>
      <c r="G864" s="3"/>
      <c r="H864" s="3"/>
      <c r="I864" s="3"/>
      <c r="J864" s="3"/>
      <c r="K864" s="3" t="str">
        <f t="shared" si="1781"/>
        <v/>
      </c>
      <c r="L864" s="3"/>
      <c r="M864" s="4"/>
      <c r="N864" s="4"/>
    </row>
    <row r="865" spans="2:14" x14ac:dyDescent="0.25">
      <c r="B865" s="3"/>
      <c r="C865" s="3"/>
      <c r="D865" s="3"/>
      <c r="E865" s="3"/>
      <c r="F865" s="3"/>
      <c r="G865" s="3"/>
      <c r="H865" s="3"/>
      <c r="I865" s="3"/>
      <c r="J865" s="3"/>
      <c r="K865" s="3" t="str">
        <f t="shared" si="1781"/>
        <v/>
      </c>
      <c r="L865" s="3"/>
      <c r="M865" s="4"/>
      <c r="N865" s="4"/>
    </row>
    <row r="866" spans="2:14" x14ac:dyDescent="0.25">
      <c r="B866" s="3"/>
      <c r="C866" s="3"/>
      <c r="D866" s="3"/>
      <c r="E866" s="3"/>
      <c r="F866" s="3"/>
      <c r="G866" s="3"/>
      <c r="H866" s="3"/>
      <c r="I866" s="3"/>
      <c r="J866" s="3"/>
      <c r="K866" s="3" t="str">
        <f t="shared" si="1781"/>
        <v/>
      </c>
      <c r="L866" s="3"/>
      <c r="M866" s="4"/>
      <c r="N866" s="4"/>
    </row>
    <row r="867" spans="2:14" x14ac:dyDescent="0.25">
      <c r="B867" s="3"/>
      <c r="C867" s="3"/>
      <c r="D867" s="3"/>
      <c r="E867" s="3"/>
      <c r="F867" s="3"/>
      <c r="G867" s="3"/>
      <c r="H867" s="3"/>
      <c r="I867" s="3"/>
      <c r="J867" s="3"/>
      <c r="K867" s="3" t="str">
        <f t="shared" si="1781"/>
        <v/>
      </c>
      <c r="L867" s="3"/>
      <c r="M867" s="4"/>
      <c r="N867" s="4"/>
    </row>
    <row r="868" spans="2:14" x14ac:dyDescent="0.25">
      <c r="B868" s="3"/>
      <c r="C868" s="3"/>
      <c r="D868" s="3"/>
      <c r="E868" s="3"/>
      <c r="F868" s="3"/>
      <c r="G868" s="3"/>
      <c r="H868" s="3"/>
      <c r="I868" s="3"/>
      <c r="J868" s="3"/>
      <c r="K868" s="3" t="str">
        <f t="shared" si="1781"/>
        <v/>
      </c>
      <c r="L868" s="3"/>
      <c r="M868" s="4"/>
      <c r="N868" s="4"/>
    </row>
    <row r="869" spans="2:14" x14ac:dyDescent="0.25">
      <c r="B869" s="3"/>
      <c r="C869" s="3"/>
      <c r="D869" s="3"/>
      <c r="E869" s="3"/>
      <c r="F869" s="3"/>
      <c r="G869" s="3"/>
      <c r="H869" s="3"/>
      <c r="I869" s="3"/>
      <c r="J869" s="3"/>
      <c r="K869" s="3" t="str">
        <f t="shared" ref="K869:K881" si="1782">IF(B869=0,"",B869-B817)</f>
        <v/>
      </c>
      <c r="L869" s="3"/>
      <c r="M869" s="4"/>
      <c r="N869" s="4"/>
    </row>
    <row r="870" spans="2:14" x14ac:dyDescent="0.25">
      <c r="B870" s="3"/>
      <c r="C870" s="3"/>
      <c r="D870" s="3"/>
      <c r="E870" s="3"/>
      <c r="F870" s="3"/>
      <c r="G870" s="3"/>
      <c r="H870" s="3"/>
      <c r="I870" s="3"/>
      <c r="J870" s="3"/>
      <c r="K870" s="3" t="str">
        <f t="shared" si="1782"/>
        <v/>
      </c>
      <c r="L870" s="3"/>
      <c r="M870" s="4"/>
      <c r="N870" s="4"/>
    </row>
    <row r="871" spans="2:14" x14ac:dyDescent="0.25">
      <c r="B871" s="3"/>
      <c r="C871" s="3"/>
      <c r="D871" s="3"/>
      <c r="E871" s="3"/>
      <c r="F871" s="3"/>
      <c r="G871" s="3"/>
      <c r="H871" s="3"/>
      <c r="I871" s="3"/>
      <c r="J871" s="3"/>
      <c r="K871" s="3" t="str">
        <f t="shared" si="1782"/>
        <v/>
      </c>
      <c r="L871" s="3"/>
      <c r="M871" s="4"/>
      <c r="N871" s="4"/>
    </row>
    <row r="872" spans="2:14" x14ac:dyDescent="0.25">
      <c r="B872" s="3"/>
      <c r="C872" s="3"/>
      <c r="D872" s="3"/>
      <c r="E872" s="3"/>
      <c r="F872" s="3"/>
      <c r="G872" s="3"/>
      <c r="H872" s="3"/>
      <c r="I872" s="3"/>
      <c r="J872" s="3"/>
      <c r="K872" s="3" t="str">
        <f t="shared" si="1782"/>
        <v/>
      </c>
      <c r="L872" s="3"/>
      <c r="M872" s="4"/>
      <c r="N872" s="4"/>
    </row>
    <row r="873" spans="2:14" x14ac:dyDescent="0.25">
      <c r="B873" s="3"/>
      <c r="C873" s="3"/>
      <c r="D873" s="3"/>
      <c r="E873" s="3"/>
      <c r="F873" s="3"/>
      <c r="G873" s="3"/>
      <c r="H873" s="3"/>
      <c r="I873" s="3"/>
      <c r="J873" s="3"/>
      <c r="K873" s="3" t="str">
        <f t="shared" si="1782"/>
        <v/>
      </c>
      <c r="L873" s="3"/>
      <c r="M873" s="4"/>
      <c r="N873" s="4"/>
    </row>
    <row r="874" spans="2:14" x14ac:dyDescent="0.25">
      <c r="B874" s="3"/>
      <c r="C874" s="3"/>
      <c r="D874" s="3"/>
      <c r="E874" s="3"/>
      <c r="F874" s="3"/>
      <c r="G874" s="3"/>
      <c r="H874" s="3"/>
      <c r="I874" s="3"/>
      <c r="J874" s="3"/>
      <c r="K874" s="3" t="str">
        <f t="shared" si="1782"/>
        <v/>
      </c>
      <c r="L874" s="3"/>
      <c r="M874" s="4"/>
      <c r="N874" s="4"/>
    </row>
    <row r="875" spans="2:14" x14ac:dyDescent="0.25">
      <c r="B875" s="3"/>
      <c r="C875" s="3"/>
      <c r="D875" s="3"/>
      <c r="E875" s="3"/>
      <c r="F875" s="3"/>
      <c r="G875" s="3"/>
      <c r="H875" s="3"/>
      <c r="I875" s="3"/>
      <c r="J875" s="3"/>
      <c r="K875" s="3" t="str">
        <f t="shared" si="1782"/>
        <v/>
      </c>
      <c r="L875" s="3"/>
      <c r="M875" s="4"/>
      <c r="N875" s="4"/>
    </row>
    <row r="876" spans="2:14" x14ac:dyDescent="0.25">
      <c r="B876" s="3"/>
      <c r="C876" s="3"/>
      <c r="D876" s="3"/>
      <c r="E876" s="3"/>
      <c r="F876" s="3"/>
      <c r="G876" s="3"/>
      <c r="H876" s="3"/>
      <c r="I876" s="3"/>
      <c r="J876" s="3"/>
      <c r="K876" s="3" t="str">
        <f t="shared" si="1782"/>
        <v/>
      </c>
      <c r="L876" s="3"/>
      <c r="M876" s="4"/>
      <c r="N876" s="4"/>
    </row>
    <row r="877" spans="2:14" x14ac:dyDescent="0.25">
      <c r="B877" s="3"/>
      <c r="C877" s="3"/>
      <c r="D877" s="3"/>
      <c r="E877" s="3"/>
      <c r="F877" s="3"/>
      <c r="G877" s="3"/>
      <c r="H877" s="3"/>
      <c r="I877" s="3"/>
      <c r="J877" s="3"/>
      <c r="K877" s="3" t="str">
        <f t="shared" si="1782"/>
        <v/>
      </c>
      <c r="L877" s="3"/>
      <c r="M877" s="4"/>
      <c r="N877" s="4"/>
    </row>
    <row r="878" spans="2:14" x14ac:dyDescent="0.25">
      <c r="B878" s="3"/>
      <c r="C878" s="3"/>
      <c r="D878" s="3"/>
      <c r="E878" s="3"/>
      <c r="F878" s="3"/>
      <c r="G878" s="3"/>
      <c r="H878" s="3"/>
      <c r="I878" s="3"/>
      <c r="J878" s="3"/>
      <c r="K878" s="3" t="str">
        <f t="shared" si="1782"/>
        <v/>
      </c>
      <c r="L878" s="3"/>
      <c r="M878" s="4"/>
      <c r="N878" s="4"/>
    </row>
    <row r="879" spans="2:14" x14ac:dyDescent="0.25">
      <c r="B879" s="3"/>
      <c r="C879" s="3"/>
      <c r="D879" s="3"/>
      <c r="E879" s="3"/>
      <c r="F879" s="3"/>
      <c r="G879" s="3"/>
      <c r="H879" s="3"/>
      <c r="I879" s="3"/>
      <c r="J879" s="3"/>
      <c r="K879" s="3" t="str">
        <f t="shared" si="1782"/>
        <v/>
      </c>
      <c r="L879" s="3"/>
      <c r="M879" s="4"/>
      <c r="N879" s="4"/>
    </row>
    <row r="880" spans="2:14" x14ac:dyDescent="0.25">
      <c r="B880" s="3"/>
      <c r="C880" s="3"/>
      <c r="D880" s="3"/>
      <c r="E880" s="3"/>
      <c r="F880" s="3"/>
      <c r="G880" s="3"/>
      <c r="H880" s="3"/>
      <c r="I880" s="3"/>
      <c r="J880" s="3"/>
      <c r="K880" s="3" t="str">
        <f t="shared" si="1782"/>
        <v/>
      </c>
      <c r="L880" s="3"/>
      <c r="M880" s="4"/>
      <c r="N880" s="4"/>
    </row>
    <row r="881" spans="2:14" x14ac:dyDescent="0.25">
      <c r="B881" s="3"/>
      <c r="C881" s="3"/>
      <c r="D881" s="3"/>
      <c r="E881" s="3"/>
      <c r="F881" s="3"/>
      <c r="G881" s="3"/>
      <c r="H881" s="3"/>
      <c r="I881" s="3"/>
      <c r="J881" s="3"/>
      <c r="K881" s="3" t="str">
        <f t="shared" si="1782"/>
        <v/>
      </c>
      <c r="L881" s="3"/>
      <c r="M881" s="4"/>
      <c r="N881" s="4"/>
    </row>
    <row r="882" spans="2:14" x14ac:dyDescent="0.25">
      <c r="B882" s="3"/>
      <c r="C882" s="3"/>
      <c r="D882" s="3"/>
      <c r="E882" s="3"/>
      <c r="F882" s="3"/>
      <c r="G882" s="3"/>
      <c r="H882" s="3"/>
      <c r="I882" s="3"/>
      <c r="J882" s="3"/>
    </row>
    <row r="883" spans="2:14" x14ac:dyDescent="0.25">
      <c r="B883" s="3"/>
      <c r="C883" s="3"/>
      <c r="D883" s="3"/>
      <c r="E883" s="3"/>
      <c r="F883" s="3"/>
      <c r="G883" s="3"/>
      <c r="H883" s="3"/>
      <c r="I883" s="3"/>
      <c r="J883" s="3"/>
    </row>
    <row r="884" spans="2:14" x14ac:dyDescent="0.25">
      <c r="B884" s="3"/>
      <c r="C884" s="3"/>
      <c r="D884" s="3"/>
      <c r="E884" s="3"/>
      <c r="F884" s="3"/>
      <c r="G884" s="3"/>
      <c r="H884" s="3"/>
      <c r="I884" s="3"/>
      <c r="J884" s="3"/>
    </row>
    <row r="885" spans="2:14" x14ac:dyDescent="0.25">
      <c r="B885" s="3"/>
      <c r="C885" s="3"/>
      <c r="D885" s="3"/>
      <c r="E885" s="3"/>
      <c r="F885" s="3"/>
      <c r="G885" s="3"/>
      <c r="H885" s="3"/>
      <c r="I885" s="3"/>
      <c r="J885" s="3"/>
    </row>
    <row r="886" spans="2:14" x14ac:dyDescent="0.25">
      <c r="B886" s="3"/>
      <c r="C886" s="3"/>
      <c r="D886" s="3"/>
      <c r="E886" s="3"/>
      <c r="F886" s="3"/>
      <c r="G886" s="3"/>
      <c r="H886" s="3"/>
      <c r="I886" s="3"/>
      <c r="J886" s="3"/>
    </row>
    <row r="887" spans="2:14" x14ac:dyDescent="0.25">
      <c r="B887" s="3"/>
      <c r="C887" s="3"/>
      <c r="D887" s="3"/>
      <c r="E887" s="3"/>
      <c r="F887" s="3"/>
      <c r="G887" s="3"/>
      <c r="H887" s="3"/>
      <c r="I887" s="3"/>
      <c r="J887" s="3"/>
    </row>
    <row r="888" spans="2:14" x14ac:dyDescent="0.25">
      <c r="B888" s="3"/>
      <c r="C888" s="3"/>
      <c r="D888" s="3"/>
      <c r="E888" s="3"/>
      <c r="F888" s="3"/>
      <c r="G888" s="3"/>
      <c r="H888" s="3"/>
      <c r="I888" s="3"/>
      <c r="J888" s="3"/>
    </row>
    <row r="889" spans="2:14" x14ac:dyDescent="0.25">
      <c r="B889" s="3"/>
      <c r="C889" s="3"/>
      <c r="D889" s="3"/>
      <c r="E889" s="3"/>
      <c r="F889" s="3"/>
      <c r="G889" s="3"/>
      <c r="H889" s="3"/>
      <c r="I889" s="3"/>
      <c r="J889" s="3"/>
    </row>
    <row r="890" spans="2:14" x14ac:dyDescent="0.25">
      <c r="B890" s="3"/>
      <c r="C890" s="3"/>
      <c r="D890" s="3"/>
      <c r="E890" s="3"/>
      <c r="F890" s="3"/>
      <c r="G890" s="3"/>
      <c r="H890" s="3"/>
      <c r="I890" s="3"/>
      <c r="J890" s="3"/>
    </row>
    <row r="891" spans="2:14" x14ac:dyDescent="0.25">
      <c r="B891" s="3"/>
      <c r="C891" s="3"/>
      <c r="D891" s="3"/>
      <c r="E891" s="3"/>
      <c r="F891" s="3"/>
      <c r="G891" s="3"/>
      <c r="H891" s="3"/>
      <c r="I891" s="3"/>
      <c r="J891" s="3"/>
    </row>
    <row r="892" spans="2:14" x14ac:dyDescent="0.25">
      <c r="B892" s="3"/>
      <c r="C892" s="3"/>
      <c r="D892" s="3"/>
      <c r="E892" s="3"/>
      <c r="F892" s="3"/>
      <c r="G892" s="3"/>
      <c r="H892" s="3"/>
      <c r="I892" s="3"/>
      <c r="J892" s="3"/>
    </row>
    <row r="893" spans="2:14" x14ac:dyDescent="0.25">
      <c r="B893" s="3"/>
      <c r="C893" s="3"/>
      <c r="D893" s="3"/>
      <c r="E893" s="3"/>
      <c r="F893" s="3"/>
      <c r="G893" s="3"/>
      <c r="H893" s="3"/>
      <c r="I893" s="3"/>
      <c r="J893" s="3"/>
    </row>
    <row r="894" spans="2:14" x14ac:dyDescent="0.25">
      <c r="B894" s="3"/>
      <c r="C894" s="3"/>
      <c r="D894" s="3"/>
      <c r="E894" s="3"/>
      <c r="F894" s="3"/>
      <c r="G894" s="3"/>
      <c r="H894" s="3"/>
      <c r="I894" s="3"/>
      <c r="J894" s="3"/>
    </row>
    <row r="895" spans="2:14" x14ac:dyDescent="0.25">
      <c r="B895" s="3"/>
      <c r="C895" s="3"/>
      <c r="D895" s="3"/>
      <c r="E895" s="3"/>
      <c r="F895" s="3"/>
      <c r="G895" s="3"/>
      <c r="H895" s="3"/>
      <c r="I895" s="3"/>
      <c r="J895" s="3"/>
    </row>
    <row r="896" spans="2:14"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row r="1160" spans="2:10" x14ac:dyDescent="0.25">
      <c r="B1160" s="3"/>
      <c r="C1160" s="3"/>
      <c r="D1160" s="3"/>
      <c r="E1160" s="3"/>
      <c r="F1160" s="3"/>
      <c r="G1160" s="3"/>
      <c r="H1160" s="3"/>
      <c r="I1160" s="3"/>
      <c r="J1160" s="3"/>
    </row>
    <row r="1161" spans="2:10" x14ac:dyDescent="0.25">
      <c r="B1161" s="3"/>
      <c r="C1161" s="3"/>
      <c r="D1161" s="3"/>
      <c r="E1161" s="3"/>
      <c r="F1161" s="3"/>
      <c r="G1161" s="3"/>
      <c r="H1161" s="3"/>
      <c r="I1161" s="3"/>
      <c r="J1161" s="3"/>
    </row>
    <row r="1162" spans="2:10" x14ac:dyDescent="0.25">
      <c r="B1162" s="3"/>
      <c r="C1162" s="3"/>
      <c r="D1162" s="3"/>
      <c r="E1162" s="3"/>
      <c r="F1162" s="3"/>
      <c r="G1162" s="3"/>
      <c r="H1162" s="3"/>
      <c r="I1162" s="3"/>
      <c r="J1162" s="3"/>
    </row>
    <row r="1163" spans="2:10" x14ac:dyDescent="0.25">
      <c r="B1163" s="3"/>
      <c r="C1163" s="3"/>
      <c r="D1163" s="3"/>
      <c r="E1163" s="3"/>
      <c r="F1163" s="3"/>
      <c r="G1163" s="3"/>
      <c r="H1163" s="3"/>
      <c r="I1163" s="3"/>
      <c r="J1163" s="3"/>
    </row>
    <row r="1164" spans="2:10" x14ac:dyDescent="0.25">
      <c r="B1164" s="3"/>
      <c r="C1164" s="3"/>
      <c r="D1164" s="3"/>
      <c r="E1164" s="3"/>
      <c r="F1164" s="3"/>
      <c r="G1164" s="3"/>
      <c r="H1164" s="3"/>
      <c r="I1164" s="3"/>
      <c r="J1164" s="3"/>
    </row>
    <row r="1165" spans="2:10" x14ac:dyDescent="0.25">
      <c r="B1165" s="3"/>
      <c r="C1165" s="3"/>
      <c r="D1165" s="3"/>
      <c r="E1165" s="3"/>
      <c r="F1165" s="3"/>
      <c r="G1165" s="3"/>
      <c r="H1165" s="3"/>
      <c r="I1165" s="3"/>
      <c r="J1165" s="3"/>
    </row>
    <row r="1166" spans="2:10" x14ac:dyDescent="0.25">
      <c r="B1166" s="3"/>
      <c r="C1166" s="3"/>
      <c r="D1166" s="3"/>
      <c r="E1166" s="3"/>
      <c r="F1166" s="3"/>
      <c r="G1166" s="3"/>
      <c r="H1166" s="3"/>
      <c r="I1166" s="3"/>
      <c r="J1166" s="3"/>
    </row>
    <row r="1167" spans="2:10" x14ac:dyDescent="0.25">
      <c r="B1167" s="3"/>
      <c r="C1167" s="3"/>
      <c r="D1167" s="3"/>
      <c r="E1167" s="3"/>
      <c r="F1167" s="3"/>
      <c r="G1167" s="3"/>
      <c r="H1167" s="3"/>
      <c r="I1167" s="3"/>
      <c r="J1167" s="3"/>
    </row>
    <row r="1168" spans="2:10" x14ac:dyDescent="0.25">
      <c r="B1168" s="3"/>
      <c r="C1168" s="3"/>
      <c r="D1168" s="3"/>
      <c r="E1168" s="3"/>
      <c r="F1168" s="3"/>
      <c r="G1168" s="3"/>
      <c r="H1168" s="3"/>
      <c r="I1168" s="3"/>
      <c r="J1168" s="3"/>
    </row>
    <row r="1169" spans="2:10" x14ac:dyDescent="0.25">
      <c r="B1169" s="3"/>
      <c r="C1169" s="3"/>
      <c r="D1169" s="3"/>
      <c r="E1169" s="3"/>
      <c r="F1169" s="3"/>
      <c r="G1169" s="3"/>
      <c r="H1169" s="3"/>
      <c r="I1169" s="3"/>
      <c r="J1169" s="3"/>
    </row>
    <row r="1170" spans="2:10" x14ac:dyDescent="0.25">
      <c r="B1170" s="3"/>
      <c r="C1170" s="3"/>
      <c r="D1170" s="3"/>
      <c r="E1170" s="3"/>
      <c r="F1170" s="3"/>
      <c r="G1170" s="3"/>
      <c r="H1170" s="3"/>
      <c r="I1170" s="3"/>
      <c r="J1170" s="3"/>
    </row>
    <row r="1171" spans="2:10" x14ac:dyDescent="0.25">
      <c r="B1171" s="3"/>
      <c r="C1171" s="3"/>
      <c r="D1171" s="3"/>
      <c r="E1171" s="3"/>
      <c r="F1171" s="3"/>
      <c r="G1171" s="3"/>
      <c r="H1171" s="3"/>
      <c r="I1171" s="3"/>
      <c r="J1171" s="3"/>
    </row>
    <row r="1172" spans="2:10" x14ac:dyDescent="0.25">
      <c r="B1172" s="3"/>
      <c r="C1172" s="3"/>
      <c r="D1172" s="3"/>
      <c r="E1172" s="3"/>
      <c r="F1172" s="3"/>
      <c r="G1172" s="3"/>
      <c r="H1172" s="3"/>
      <c r="I1172" s="3"/>
      <c r="J1172" s="3"/>
    </row>
    <row r="1173" spans="2:10" x14ac:dyDescent="0.25">
      <c r="B1173" s="3"/>
      <c r="C1173" s="3"/>
      <c r="D1173" s="3"/>
      <c r="E1173" s="3"/>
      <c r="F1173" s="3"/>
      <c r="G1173" s="3"/>
      <c r="H1173" s="3"/>
      <c r="I1173" s="3"/>
      <c r="J1173" s="3"/>
    </row>
    <row r="1174" spans="2:10" x14ac:dyDescent="0.25">
      <c r="B1174" s="3"/>
      <c r="C1174" s="3"/>
      <c r="D1174" s="3"/>
      <c r="E1174" s="3"/>
      <c r="F1174" s="3"/>
      <c r="G1174" s="3"/>
      <c r="H1174" s="3"/>
      <c r="I1174" s="3"/>
      <c r="J1174" s="3"/>
    </row>
    <row r="1175" spans="2:10" x14ac:dyDescent="0.25">
      <c r="B1175" s="3"/>
      <c r="C1175" s="3"/>
      <c r="D1175" s="3"/>
      <c r="E1175" s="3"/>
      <c r="F1175" s="3"/>
      <c r="G1175" s="3"/>
      <c r="H1175" s="3"/>
      <c r="I1175" s="3"/>
      <c r="J1175" s="3"/>
    </row>
    <row r="1176" spans="2:10" x14ac:dyDescent="0.25">
      <c r="B1176" s="3"/>
      <c r="C1176" s="3"/>
      <c r="D1176" s="3"/>
      <c r="E1176" s="3"/>
      <c r="F1176" s="3"/>
      <c r="G1176" s="3"/>
      <c r="H1176" s="3"/>
      <c r="I1176" s="3"/>
      <c r="J1176" s="3"/>
    </row>
    <row r="1177" spans="2:10" x14ac:dyDescent="0.25">
      <c r="B1177" s="3"/>
      <c r="C1177" s="3"/>
      <c r="D1177" s="3"/>
      <c r="E1177" s="3"/>
      <c r="F1177" s="3"/>
      <c r="G1177" s="3"/>
      <c r="H1177" s="3"/>
      <c r="I1177" s="3"/>
      <c r="J1177" s="3"/>
    </row>
    <row r="1178" spans="2:10" x14ac:dyDescent="0.25">
      <c r="B1178" s="3"/>
      <c r="C1178" s="3"/>
      <c r="D1178" s="3"/>
      <c r="E1178" s="3"/>
      <c r="F1178" s="3"/>
      <c r="G1178" s="3"/>
      <c r="H1178" s="3"/>
      <c r="I1178" s="3"/>
      <c r="J1178" s="3"/>
    </row>
    <row r="1179" spans="2:10" x14ac:dyDescent="0.25">
      <c r="B1179" s="3"/>
      <c r="C1179" s="3"/>
      <c r="D1179" s="3"/>
      <c r="E1179" s="3"/>
      <c r="F1179" s="3"/>
      <c r="G1179" s="3"/>
      <c r="H1179" s="3"/>
      <c r="I1179" s="3"/>
      <c r="J1179" s="3"/>
    </row>
    <row r="1180" spans="2:10" x14ac:dyDescent="0.25">
      <c r="B1180" s="3"/>
      <c r="C1180" s="3"/>
      <c r="D1180" s="3"/>
      <c r="E1180" s="3"/>
      <c r="F1180" s="3"/>
      <c r="G1180" s="3"/>
      <c r="H1180" s="3"/>
      <c r="I1180" s="3"/>
      <c r="J1180" s="3"/>
    </row>
    <row r="1181" spans="2:10" x14ac:dyDescent="0.25">
      <c r="B1181" s="3"/>
      <c r="C1181" s="3"/>
      <c r="D1181" s="3"/>
      <c r="E1181" s="3"/>
      <c r="F1181" s="3"/>
      <c r="G1181" s="3"/>
      <c r="H1181" s="3"/>
      <c r="I1181" s="3"/>
      <c r="J1181" s="3"/>
    </row>
    <row r="1182" spans="2:10" x14ac:dyDescent="0.25">
      <c r="B1182" s="3"/>
      <c r="C1182" s="3"/>
      <c r="D1182" s="3"/>
      <c r="E1182" s="3"/>
      <c r="F1182" s="3"/>
      <c r="G1182" s="3"/>
      <c r="H1182" s="3"/>
      <c r="I1182" s="3"/>
      <c r="J1182" s="3"/>
    </row>
    <row r="1183" spans="2:10" x14ac:dyDescent="0.25">
      <c r="B1183" s="3"/>
      <c r="C1183" s="3"/>
      <c r="D1183" s="3"/>
      <c r="E1183" s="3"/>
      <c r="F1183" s="3"/>
      <c r="G1183" s="3"/>
      <c r="H1183" s="3"/>
      <c r="I1183" s="3"/>
      <c r="J1183" s="3"/>
    </row>
    <row r="1184" spans="2:10" x14ac:dyDescent="0.25">
      <c r="B1184" s="3"/>
      <c r="C1184" s="3"/>
      <c r="D1184" s="3"/>
      <c r="E1184" s="3"/>
      <c r="F1184" s="3"/>
      <c r="G1184" s="3"/>
      <c r="H1184" s="3"/>
      <c r="I1184" s="3"/>
      <c r="J1184" s="3"/>
    </row>
    <row r="1185" spans="2:10" x14ac:dyDescent="0.25">
      <c r="B1185" s="3"/>
      <c r="C1185" s="3"/>
      <c r="D1185" s="3"/>
      <c r="E1185" s="3"/>
      <c r="F1185" s="3"/>
      <c r="G1185" s="3"/>
      <c r="H1185" s="3"/>
      <c r="I1185" s="3"/>
      <c r="J1185" s="3"/>
    </row>
    <row r="1186" spans="2:10" x14ac:dyDescent="0.25">
      <c r="B1186" s="3"/>
      <c r="C1186" s="3"/>
      <c r="D1186" s="3"/>
      <c r="E1186" s="3"/>
      <c r="F1186" s="3"/>
      <c r="G1186" s="3"/>
      <c r="H1186" s="3"/>
      <c r="I1186" s="3"/>
      <c r="J1186" s="3"/>
    </row>
    <row r="1187" spans="2:10" x14ac:dyDescent="0.25">
      <c r="B1187" s="3"/>
      <c r="C1187" s="3"/>
      <c r="D1187" s="3"/>
      <c r="E1187" s="3"/>
      <c r="F1187" s="3"/>
      <c r="G1187" s="3"/>
      <c r="H1187" s="3"/>
      <c r="I1187" s="3"/>
      <c r="J1187" s="3"/>
    </row>
    <row r="1188" spans="2:10" x14ac:dyDescent="0.25">
      <c r="B1188" s="3"/>
      <c r="C1188" s="3"/>
      <c r="D1188" s="3"/>
      <c r="E1188" s="3"/>
      <c r="F1188" s="3"/>
      <c r="G1188" s="3"/>
      <c r="H1188" s="3"/>
      <c r="I1188" s="3"/>
      <c r="J1188" s="3"/>
    </row>
    <row r="1189" spans="2:10" x14ac:dyDescent="0.25">
      <c r="B1189" s="3"/>
      <c r="C1189" s="3"/>
      <c r="D1189" s="3"/>
      <c r="E1189" s="3"/>
      <c r="F1189" s="3"/>
      <c r="G1189" s="3"/>
      <c r="H1189" s="3"/>
      <c r="I1189" s="3"/>
      <c r="J1189" s="3"/>
    </row>
    <row r="1190" spans="2:10" x14ac:dyDescent="0.25">
      <c r="B1190" s="3"/>
      <c r="C1190" s="3"/>
      <c r="D1190" s="3"/>
      <c r="E1190" s="3"/>
      <c r="F1190" s="3"/>
      <c r="G1190" s="3"/>
      <c r="H1190" s="3"/>
      <c r="I1190" s="3"/>
      <c r="J1190" s="3"/>
    </row>
    <row r="1191" spans="2:10" x14ac:dyDescent="0.25">
      <c r="B1191" s="3"/>
      <c r="C1191" s="3"/>
      <c r="D1191" s="3"/>
      <c r="E1191" s="3"/>
      <c r="F1191" s="3"/>
      <c r="G1191" s="3"/>
      <c r="H1191" s="3"/>
      <c r="I1191" s="3"/>
      <c r="J1191" s="3"/>
    </row>
    <row r="1192" spans="2:10" x14ac:dyDescent="0.25">
      <c r="B1192" s="3"/>
      <c r="C1192" s="3"/>
      <c r="D1192" s="3"/>
      <c r="E1192" s="3"/>
      <c r="F1192" s="3"/>
      <c r="G1192" s="3"/>
      <c r="H1192" s="3"/>
      <c r="I1192" s="3"/>
      <c r="J1192" s="3"/>
    </row>
    <row r="1193" spans="2:10" x14ac:dyDescent="0.25">
      <c r="B1193" s="3"/>
      <c r="C1193" s="3"/>
      <c r="D1193" s="3"/>
      <c r="E1193" s="3"/>
      <c r="F1193" s="3"/>
      <c r="G1193" s="3"/>
      <c r="H1193" s="3"/>
      <c r="I1193" s="3"/>
      <c r="J1193" s="3"/>
    </row>
    <row r="1194" spans="2:10" x14ac:dyDescent="0.25">
      <c r="B1194" s="3"/>
      <c r="C1194" s="3"/>
      <c r="D1194" s="3"/>
      <c r="E1194" s="3"/>
      <c r="F1194" s="3"/>
      <c r="G1194" s="3"/>
      <c r="H1194" s="3"/>
      <c r="I1194" s="3"/>
      <c r="J1194" s="3"/>
    </row>
    <row r="1195" spans="2:10" x14ac:dyDescent="0.25">
      <c r="B1195" s="3"/>
      <c r="C1195" s="3"/>
      <c r="D1195" s="3"/>
      <c r="E1195" s="3"/>
      <c r="F1195" s="3"/>
      <c r="G1195" s="3"/>
      <c r="H1195" s="3"/>
      <c r="I1195" s="3"/>
      <c r="J1195" s="3"/>
    </row>
    <row r="1196" spans="2:10" x14ac:dyDescent="0.25">
      <c r="B1196" s="3"/>
      <c r="C1196" s="3"/>
      <c r="D1196" s="3"/>
      <c r="E1196" s="3"/>
      <c r="F1196" s="3"/>
      <c r="G1196" s="3"/>
      <c r="H1196" s="3"/>
      <c r="I1196" s="3"/>
      <c r="J1196" s="3"/>
    </row>
    <row r="1197" spans="2:10" x14ac:dyDescent="0.25">
      <c r="B1197" s="3"/>
      <c r="C1197" s="3"/>
      <c r="D1197" s="3"/>
      <c r="E1197" s="3"/>
      <c r="F1197" s="3"/>
      <c r="G1197" s="3"/>
      <c r="H1197" s="3"/>
      <c r="I1197" s="3"/>
      <c r="J1197" s="3"/>
    </row>
    <row r="1198" spans="2:10" x14ac:dyDescent="0.25">
      <c r="B1198" s="3"/>
      <c r="C1198" s="3"/>
      <c r="D1198" s="3"/>
      <c r="E1198" s="3"/>
      <c r="F1198" s="3"/>
      <c r="G1198" s="3"/>
      <c r="H1198" s="3"/>
      <c r="I1198" s="3"/>
      <c r="J1198" s="3"/>
    </row>
    <row r="1199" spans="2:10" x14ac:dyDescent="0.25">
      <c r="B1199" s="3"/>
      <c r="C1199" s="3"/>
      <c r="D1199" s="3"/>
      <c r="E1199" s="3"/>
      <c r="F1199" s="3"/>
      <c r="G1199" s="3"/>
      <c r="H1199" s="3"/>
      <c r="I1199" s="3"/>
      <c r="J1199" s="3"/>
    </row>
    <row r="1200" spans="2:10" x14ac:dyDescent="0.25">
      <c r="B1200" s="3"/>
      <c r="C1200" s="3"/>
      <c r="D1200" s="3"/>
      <c r="E1200" s="3"/>
      <c r="F1200" s="3"/>
      <c r="G1200" s="3"/>
      <c r="H1200" s="3"/>
      <c r="I1200" s="3"/>
      <c r="J1200" s="3"/>
    </row>
    <row r="1201" spans="2:10" x14ac:dyDescent="0.25">
      <c r="B1201" s="3"/>
      <c r="C1201" s="3"/>
      <c r="D1201" s="3"/>
      <c r="E1201" s="3"/>
      <c r="F1201" s="3"/>
      <c r="G1201" s="3"/>
      <c r="H1201" s="3"/>
      <c r="I1201" s="3"/>
      <c r="J1201" s="3"/>
    </row>
    <row r="1202" spans="2:10" x14ac:dyDescent="0.25">
      <c r="B1202" s="3"/>
      <c r="C1202" s="3"/>
      <c r="D1202" s="3"/>
      <c r="E1202" s="3"/>
      <c r="F1202" s="3"/>
      <c r="G1202" s="3"/>
      <c r="H1202" s="3"/>
      <c r="I1202" s="3"/>
      <c r="J1202" s="3"/>
    </row>
    <row r="1203" spans="2:10" x14ac:dyDescent="0.25">
      <c r="B1203" s="3"/>
      <c r="C1203" s="3"/>
      <c r="D1203" s="3"/>
      <c r="E1203" s="3"/>
      <c r="F1203" s="3"/>
      <c r="G1203" s="3"/>
      <c r="H1203" s="3"/>
      <c r="I1203" s="3"/>
      <c r="J1203" s="3"/>
    </row>
    <row r="1204" spans="2:10" x14ac:dyDescent="0.25">
      <c r="B1204" s="3"/>
      <c r="C1204" s="3"/>
      <c r="D1204" s="3"/>
      <c r="E1204" s="3"/>
      <c r="F1204" s="3"/>
      <c r="G1204" s="3"/>
      <c r="H1204" s="3"/>
      <c r="I1204" s="3"/>
      <c r="J1204" s="3"/>
    </row>
    <row r="1205" spans="2:10" x14ac:dyDescent="0.25">
      <c r="B1205" s="3"/>
      <c r="C1205" s="3"/>
      <c r="D1205" s="3"/>
      <c r="E1205" s="3"/>
      <c r="F1205" s="3"/>
      <c r="G1205" s="3"/>
      <c r="H1205" s="3"/>
      <c r="I1205" s="3"/>
      <c r="J1205" s="3"/>
    </row>
    <row r="1206" spans="2:10" x14ac:dyDescent="0.25">
      <c r="B1206" s="3"/>
      <c r="C1206" s="3"/>
      <c r="D1206" s="3"/>
      <c r="E1206" s="3"/>
      <c r="F1206" s="3"/>
      <c r="G1206" s="3"/>
      <c r="H1206" s="3"/>
      <c r="I1206" s="3"/>
      <c r="J1206" s="3"/>
    </row>
    <row r="1207" spans="2:10" x14ac:dyDescent="0.25">
      <c r="B1207" s="3"/>
      <c r="C1207" s="3"/>
      <c r="D1207" s="3"/>
      <c r="E1207" s="3"/>
      <c r="F1207" s="3"/>
      <c r="G1207" s="3"/>
      <c r="H1207" s="3"/>
      <c r="I1207" s="3"/>
      <c r="J1207" s="3"/>
    </row>
    <row r="1208" spans="2:10" x14ac:dyDescent="0.25">
      <c r="B1208" s="3"/>
      <c r="C1208" s="3"/>
      <c r="D1208" s="3"/>
      <c r="E1208" s="3"/>
      <c r="F1208" s="3"/>
      <c r="G1208" s="3"/>
      <c r="H1208" s="3"/>
      <c r="I1208" s="3"/>
      <c r="J1208" s="3"/>
    </row>
    <row r="1209" spans="2:10" x14ac:dyDescent="0.25">
      <c r="B1209" s="3"/>
      <c r="C1209" s="3"/>
      <c r="D1209" s="3"/>
      <c r="E1209" s="3"/>
      <c r="F1209" s="3"/>
      <c r="G1209" s="3"/>
      <c r="H1209" s="3"/>
      <c r="I1209" s="3"/>
      <c r="J1209" s="3"/>
    </row>
    <row r="1210" spans="2:10" x14ac:dyDescent="0.25">
      <c r="B1210" s="3"/>
      <c r="C1210" s="3"/>
      <c r="D1210" s="3"/>
      <c r="E1210" s="3"/>
      <c r="F1210" s="3"/>
      <c r="G1210" s="3"/>
      <c r="H1210" s="3"/>
      <c r="I1210" s="3"/>
      <c r="J1210" s="3"/>
    </row>
    <row r="1211" spans="2:10" x14ac:dyDescent="0.25">
      <c r="B1211" s="3"/>
      <c r="C1211" s="3"/>
      <c r="D1211" s="3"/>
      <c r="E1211" s="3"/>
      <c r="F1211" s="3"/>
      <c r="G1211" s="3"/>
      <c r="H1211" s="3"/>
      <c r="I1211" s="3"/>
      <c r="J1211" s="3"/>
    </row>
    <row r="1212" spans="2:10" x14ac:dyDescent="0.25">
      <c r="B1212" s="3"/>
      <c r="C1212" s="3"/>
      <c r="D1212" s="3"/>
      <c r="E1212" s="3"/>
      <c r="F1212" s="3"/>
      <c r="G1212" s="3"/>
      <c r="H1212" s="3"/>
      <c r="I1212" s="3"/>
      <c r="J1212" s="3"/>
    </row>
    <row r="1213" spans="2:10" x14ac:dyDescent="0.25">
      <c r="B1213" s="3"/>
      <c r="C1213" s="3"/>
      <c r="D1213" s="3"/>
      <c r="E1213" s="3"/>
      <c r="F1213" s="3"/>
      <c r="G1213" s="3"/>
      <c r="H1213" s="3"/>
      <c r="I1213" s="3"/>
      <c r="J1213" s="3"/>
    </row>
    <row r="1214" spans="2:10" x14ac:dyDescent="0.25">
      <c r="B1214" s="3"/>
      <c r="C1214" s="3"/>
      <c r="D1214" s="3"/>
      <c r="E1214" s="3"/>
      <c r="F1214" s="3"/>
      <c r="G1214" s="3"/>
      <c r="H1214" s="3"/>
      <c r="I1214" s="3"/>
      <c r="J1214" s="3"/>
    </row>
    <row r="1215" spans="2:10" x14ac:dyDescent="0.25">
      <c r="B1215" s="3"/>
      <c r="C1215" s="3"/>
      <c r="D1215" s="3"/>
      <c r="E1215" s="3"/>
      <c r="F1215" s="3"/>
      <c r="G1215" s="3"/>
      <c r="H1215" s="3"/>
      <c r="I1215" s="3"/>
      <c r="J1215" s="3"/>
    </row>
    <row r="1216" spans="2:10" x14ac:dyDescent="0.25">
      <c r="B1216" s="3"/>
      <c r="C1216" s="3"/>
      <c r="D1216" s="3"/>
      <c r="E1216" s="3"/>
      <c r="F1216" s="3"/>
      <c r="G1216" s="3"/>
      <c r="H1216" s="3"/>
      <c r="I1216" s="3"/>
      <c r="J1216" s="3"/>
    </row>
    <row r="1217" spans="2:10" x14ac:dyDescent="0.25">
      <c r="B1217" s="3"/>
      <c r="C1217" s="3"/>
      <c r="D1217" s="3"/>
      <c r="E1217" s="3"/>
      <c r="F1217" s="3"/>
      <c r="G1217" s="3"/>
      <c r="H1217" s="3"/>
      <c r="I1217" s="3"/>
      <c r="J1217" s="3"/>
    </row>
    <row r="1218" spans="2:10" x14ac:dyDescent="0.25">
      <c r="B1218" s="3"/>
      <c r="C1218" s="3"/>
      <c r="D1218" s="3"/>
      <c r="E1218" s="3"/>
      <c r="F1218" s="3"/>
      <c r="G1218" s="3"/>
      <c r="H1218" s="3"/>
      <c r="I1218" s="3"/>
      <c r="J1218" s="3"/>
    </row>
    <row r="1219" spans="2:10" x14ac:dyDescent="0.25">
      <c r="B1219" s="3"/>
      <c r="C1219" s="3"/>
      <c r="D1219" s="3"/>
      <c r="E1219" s="3"/>
      <c r="F1219" s="3"/>
      <c r="G1219" s="3"/>
      <c r="H1219" s="3"/>
      <c r="I1219" s="3"/>
      <c r="J1219" s="3"/>
    </row>
    <row r="1220" spans="2:10" x14ac:dyDescent="0.25">
      <c r="B1220" s="3"/>
      <c r="C1220" s="3"/>
      <c r="D1220" s="3"/>
      <c r="E1220" s="3"/>
      <c r="F1220" s="3"/>
      <c r="G1220" s="3"/>
      <c r="H1220" s="3"/>
      <c r="I1220" s="3"/>
      <c r="J1220" s="3"/>
    </row>
    <row r="1221" spans="2:10" x14ac:dyDescent="0.25">
      <c r="B1221" s="3"/>
      <c r="C1221" s="3"/>
      <c r="D1221" s="3"/>
      <c r="E1221" s="3"/>
      <c r="F1221" s="3"/>
      <c r="G1221" s="3"/>
      <c r="H1221" s="3"/>
      <c r="I1221" s="3"/>
      <c r="J1221" s="3"/>
    </row>
    <row r="1222" spans="2:10" x14ac:dyDescent="0.25">
      <c r="B1222" s="3"/>
      <c r="C1222" s="3"/>
      <c r="D1222" s="3"/>
      <c r="E1222" s="3"/>
      <c r="F1222" s="3"/>
      <c r="G1222" s="3"/>
      <c r="H1222" s="3"/>
      <c r="I1222" s="3"/>
      <c r="J1222" s="3"/>
    </row>
    <row r="1223" spans="2:10" x14ac:dyDescent="0.25">
      <c r="B1223" s="3"/>
      <c r="C1223" s="3"/>
      <c r="D1223" s="3"/>
      <c r="E1223" s="3"/>
      <c r="F1223" s="3"/>
      <c r="G1223" s="3"/>
      <c r="H1223" s="3"/>
      <c r="I1223" s="3"/>
      <c r="J1223" s="3"/>
    </row>
    <row r="1224" spans="2:10" x14ac:dyDescent="0.25">
      <c r="B1224" s="3"/>
      <c r="C1224" s="3"/>
      <c r="D1224" s="3"/>
      <c r="E1224" s="3"/>
      <c r="F1224" s="3"/>
      <c r="G1224" s="3"/>
      <c r="H1224" s="3"/>
      <c r="I1224" s="3"/>
      <c r="J1224" s="3"/>
    </row>
    <row r="1225" spans="2:10" x14ac:dyDescent="0.25">
      <c r="B1225" s="3"/>
      <c r="C1225" s="3"/>
      <c r="D1225" s="3"/>
      <c r="E1225" s="3"/>
      <c r="F1225" s="3"/>
      <c r="G1225" s="3"/>
      <c r="H1225" s="3"/>
      <c r="I1225" s="3"/>
      <c r="J1225" s="3"/>
    </row>
    <row r="1226" spans="2:10" x14ac:dyDescent="0.25">
      <c r="B1226" s="3"/>
      <c r="C1226" s="3"/>
      <c r="D1226" s="3"/>
      <c r="E1226" s="3"/>
      <c r="F1226" s="3"/>
      <c r="G1226" s="3"/>
      <c r="H1226" s="3"/>
      <c r="I1226" s="3"/>
      <c r="J1226" s="3"/>
    </row>
    <row r="1227" spans="2:10" x14ac:dyDescent="0.25">
      <c r="B1227" s="3"/>
      <c r="C1227" s="3"/>
      <c r="D1227" s="3"/>
      <c r="E1227" s="3"/>
      <c r="F1227" s="3"/>
      <c r="G1227" s="3"/>
      <c r="H1227" s="3"/>
      <c r="I1227" s="3"/>
      <c r="J1227" s="3"/>
    </row>
    <row r="1228" spans="2:10" x14ac:dyDescent="0.25">
      <c r="B1228" s="3"/>
      <c r="C1228" s="3"/>
      <c r="D1228" s="3"/>
      <c r="E1228" s="3"/>
      <c r="F1228" s="3"/>
      <c r="G1228" s="3"/>
      <c r="H1228" s="3"/>
      <c r="I1228" s="3"/>
      <c r="J1228" s="3"/>
    </row>
    <row r="1229" spans="2:10" x14ac:dyDescent="0.25">
      <c r="B1229" s="3"/>
      <c r="C1229" s="3"/>
      <c r="D1229" s="3"/>
      <c r="E1229" s="3"/>
      <c r="F1229" s="3"/>
      <c r="G1229" s="3"/>
      <c r="H1229" s="3"/>
      <c r="I1229" s="3"/>
      <c r="J1229" s="3"/>
    </row>
    <row r="1230" spans="2:10" x14ac:dyDescent="0.25">
      <c r="B1230" s="3"/>
      <c r="C1230" s="3"/>
      <c r="D1230" s="3"/>
      <c r="E1230" s="3"/>
      <c r="F1230" s="3"/>
      <c r="G1230" s="3"/>
      <c r="H1230" s="3"/>
      <c r="I1230" s="3"/>
      <c r="J1230" s="3"/>
    </row>
    <row r="1231" spans="2:10" x14ac:dyDescent="0.25">
      <c r="B1231" s="3"/>
      <c r="C1231" s="3"/>
      <c r="D1231" s="3"/>
      <c r="E1231" s="3"/>
      <c r="F1231" s="3"/>
      <c r="G1231" s="3"/>
      <c r="H1231" s="3"/>
      <c r="I1231" s="3"/>
      <c r="J1231" s="3"/>
    </row>
    <row r="1232" spans="2:10" x14ac:dyDescent="0.25">
      <c r="B1232" s="3"/>
      <c r="C1232" s="3"/>
      <c r="D1232" s="3"/>
      <c r="E1232" s="3"/>
      <c r="F1232" s="3"/>
      <c r="G1232" s="3"/>
      <c r="H1232" s="3"/>
      <c r="I1232" s="3"/>
      <c r="J1232" s="3"/>
    </row>
    <row r="1233" spans="2:10" x14ac:dyDescent="0.25">
      <c r="B1233" s="3"/>
      <c r="C1233" s="3"/>
      <c r="D1233" s="3"/>
      <c r="E1233" s="3"/>
      <c r="F1233" s="3"/>
      <c r="G1233" s="3"/>
      <c r="H1233" s="3"/>
      <c r="I1233" s="3"/>
      <c r="J1233" s="3"/>
    </row>
    <row r="1234" spans="2:10" x14ac:dyDescent="0.25">
      <c r="B1234" s="3"/>
      <c r="C1234" s="3"/>
      <c r="D1234" s="3"/>
      <c r="E1234" s="3"/>
      <c r="F1234" s="3"/>
      <c r="G1234" s="3"/>
      <c r="H1234" s="3"/>
      <c r="I1234" s="3"/>
      <c r="J1234" s="3"/>
    </row>
    <row r="1235" spans="2:10" x14ac:dyDescent="0.25">
      <c r="B1235" s="3"/>
      <c r="C1235" s="3"/>
      <c r="D1235" s="3"/>
      <c r="E1235" s="3"/>
      <c r="F1235" s="3"/>
      <c r="G1235" s="3"/>
      <c r="H1235" s="3"/>
      <c r="I1235" s="3"/>
      <c r="J1235" s="3"/>
    </row>
    <row r="1236" spans="2:10" x14ac:dyDescent="0.25">
      <c r="B1236" s="3"/>
      <c r="C1236" s="3"/>
      <c r="D1236" s="3"/>
      <c r="E1236" s="3"/>
      <c r="F1236" s="3"/>
      <c r="G1236" s="3"/>
      <c r="H1236" s="3"/>
      <c r="I1236" s="3"/>
      <c r="J1236" s="3"/>
    </row>
    <row r="1237" spans="2:10" x14ac:dyDescent="0.25">
      <c r="B1237" s="3"/>
      <c r="C1237" s="3"/>
      <c r="D1237" s="3"/>
      <c r="E1237" s="3"/>
      <c r="F1237" s="3"/>
      <c r="G1237" s="3"/>
      <c r="H1237" s="3"/>
      <c r="I1237" s="3"/>
      <c r="J1237" s="3"/>
    </row>
    <row r="1238" spans="2:10" x14ac:dyDescent="0.25">
      <c r="B1238" s="3"/>
      <c r="C1238" s="3"/>
      <c r="D1238" s="3"/>
      <c r="E1238" s="3"/>
      <c r="F1238" s="3"/>
      <c r="G1238" s="3"/>
      <c r="H1238" s="3"/>
      <c r="I1238" s="3"/>
      <c r="J1238" s="3"/>
    </row>
    <row r="1239" spans="2:10" x14ac:dyDescent="0.25">
      <c r="B1239" s="3"/>
      <c r="C1239" s="3"/>
      <c r="D1239" s="3"/>
      <c r="E1239" s="3"/>
      <c r="F1239" s="3"/>
      <c r="G1239" s="3"/>
      <c r="H1239" s="3"/>
      <c r="I1239" s="3"/>
      <c r="J1239" s="3"/>
    </row>
    <row r="1240" spans="2:10" x14ac:dyDescent="0.25">
      <c r="B1240" s="3"/>
      <c r="C1240" s="3"/>
      <c r="D1240" s="3"/>
      <c r="E1240" s="3"/>
      <c r="F1240" s="3"/>
      <c r="G1240" s="3"/>
      <c r="H1240" s="3"/>
      <c r="I1240" s="3"/>
      <c r="J1240" s="3"/>
    </row>
    <row r="1241" spans="2:10" x14ac:dyDescent="0.25">
      <c r="B1241" s="3"/>
      <c r="C1241" s="3"/>
      <c r="D1241" s="3"/>
      <c r="E1241" s="3"/>
      <c r="F1241" s="3"/>
      <c r="G1241" s="3"/>
      <c r="H1241" s="3"/>
      <c r="I1241" s="3"/>
      <c r="J1241" s="3"/>
    </row>
    <row r="1242" spans="2:10" x14ac:dyDescent="0.25">
      <c r="B1242" s="3"/>
      <c r="C1242" s="3"/>
      <c r="D1242" s="3"/>
      <c r="E1242" s="3"/>
      <c r="F1242" s="3"/>
      <c r="G1242" s="3"/>
      <c r="H1242" s="3"/>
      <c r="I1242" s="3"/>
      <c r="J1242" s="3"/>
    </row>
    <row r="1243" spans="2:10" x14ac:dyDescent="0.25">
      <c r="B1243" s="3"/>
      <c r="C1243" s="3"/>
      <c r="D1243" s="3"/>
      <c r="E1243" s="3"/>
      <c r="F1243" s="3"/>
      <c r="G1243" s="3"/>
      <c r="H1243" s="3"/>
      <c r="I1243" s="3"/>
      <c r="J1243" s="3"/>
    </row>
    <row r="1244" spans="2:10" x14ac:dyDescent="0.25">
      <c r="B1244" s="3"/>
      <c r="C1244" s="3"/>
      <c r="D1244" s="3"/>
      <c r="E1244" s="3"/>
      <c r="F1244" s="3"/>
      <c r="G1244" s="3"/>
      <c r="H1244" s="3"/>
      <c r="I1244" s="3"/>
      <c r="J1244" s="3"/>
    </row>
    <row r="1245" spans="2:10" x14ac:dyDescent="0.25">
      <c r="B1245" s="3"/>
      <c r="C1245" s="3"/>
      <c r="D1245" s="3"/>
      <c r="E1245" s="3"/>
      <c r="F1245" s="3"/>
      <c r="G1245" s="3"/>
      <c r="H1245" s="3"/>
      <c r="I1245" s="3"/>
      <c r="J1245" s="3"/>
    </row>
    <row r="1246" spans="2:10" x14ac:dyDescent="0.25">
      <c r="B1246" s="3"/>
      <c r="C1246" s="3"/>
      <c r="D1246" s="3"/>
      <c r="E1246" s="3"/>
      <c r="F1246" s="3"/>
      <c r="G1246" s="3"/>
      <c r="H1246" s="3"/>
      <c r="I1246" s="3"/>
      <c r="J1246" s="3"/>
    </row>
    <row r="1247" spans="2:10" x14ac:dyDescent="0.25">
      <c r="B1247" s="3"/>
      <c r="C1247" s="3"/>
      <c r="D1247" s="3"/>
      <c r="E1247" s="3"/>
      <c r="F1247" s="3"/>
      <c r="G1247" s="3"/>
      <c r="H1247" s="3"/>
      <c r="I1247" s="3"/>
      <c r="J1247" s="3"/>
    </row>
    <row r="1248" spans="2:10" x14ac:dyDescent="0.25">
      <c r="B1248" s="3"/>
      <c r="C1248" s="3"/>
      <c r="D1248" s="3"/>
      <c r="E1248" s="3"/>
      <c r="F1248" s="3"/>
      <c r="G1248" s="3"/>
      <c r="H1248" s="3"/>
      <c r="I1248" s="3"/>
      <c r="J1248" s="3"/>
    </row>
    <row r="1249" spans="2:10" x14ac:dyDescent="0.25">
      <c r="B1249" s="3"/>
      <c r="C1249" s="3"/>
      <c r="D1249" s="3"/>
      <c r="E1249" s="3"/>
      <c r="F1249" s="3"/>
      <c r="G1249" s="3"/>
      <c r="H1249" s="3"/>
      <c r="I1249" s="3"/>
      <c r="J1249" s="3"/>
    </row>
    <row r="1250" spans="2:10" x14ac:dyDescent="0.25">
      <c r="B1250" s="3"/>
      <c r="C1250" s="3"/>
      <c r="D1250" s="3"/>
      <c r="E1250" s="3"/>
      <c r="F1250" s="3"/>
      <c r="G1250" s="3"/>
      <c r="H1250" s="3"/>
      <c r="I1250" s="3"/>
      <c r="J1250" s="3"/>
    </row>
    <row r="1251" spans="2:10" x14ac:dyDescent="0.25">
      <c r="B1251" s="3"/>
      <c r="C1251" s="3"/>
      <c r="D1251" s="3"/>
      <c r="E1251" s="3"/>
      <c r="F1251" s="3"/>
      <c r="G1251" s="3"/>
      <c r="H1251" s="3"/>
      <c r="I1251" s="3"/>
      <c r="J1251" s="3"/>
    </row>
    <row r="1252" spans="2:10" x14ac:dyDescent="0.25">
      <c r="B1252" s="3"/>
      <c r="C1252" s="3"/>
      <c r="D1252" s="3"/>
      <c r="E1252" s="3"/>
      <c r="F1252" s="3"/>
      <c r="G1252" s="3"/>
      <c r="H1252" s="3"/>
      <c r="I1252" s="3"/>
      <c r="J1252" s="3"/>
    </row>
    <row r="1253" spans="2:10" x14ac:dyDescent="0.25">
      <c r="B1253" s="3"/>
      <c r="C1253" s="3"/>
      <c r="D1253" s="3"/>
      <c r="E1253" s="3"/>
      <c r="F1253" s="3"/>
      <c r="G1253" s="3"/>
      <c r="H1253" s="3"/>
      <c r="I1253" s="3"/>
      <c r="J1253" s="3"/>
    </row>
    <row r="1254" spans="2:10" x14ac:dyDescent="0.25">
      <c r="B1254" s="3"/>
      <c r="C1254" s="3"/>
      <c r="D1254" s="3"/>
      <c r="E1254" s="3"/>
      <c r="F1254" s="3"/>
      <c r="G1254" s="3"/>
      <c r="H1254" s="3"/>
      <c r="I1254" s="3"/>
      <c r="J1254" s="3"/>
    </row>
    <row r="1255" spans="2:10" x14ac:dyDescent="0.25">
      <c r="B1255" s="3"/>
      <c r="C1255" s="3"/>
      <c r="D1255" s="3"/>
      <c r="E1255" s="3"/>
      <c r="F1255" s="3"/>
      <c r="G1255" s="3"/>
      <c r="H1255" s="3"/>
      <c r="I1255" s="3"/>
      <c r="J1255" s="3"/>
    </row>
    <row r="1256" spans="2:10" x14ac:dyDescent="0.25">
      <c r="B1256" s="3"/>
      <c r="C1256" s="3"/>
      <c r="D1256" s="3"/>
      <c r="E1256" s="3"/>
      <c r="F1256" s="3"/>
      <c r="G1256" s="3"/>
      <c r="H1256" s="3"/>
      <c r="I1256" s="3"/>
      <c r="J1256" s="3"/>
    </row>
    <row r="1257" spans="2:10" x14ac:dyDescent="0.25">
      <c r="B1257" s="3"/>
      <c r="C1257" s="3"/>
      <c r="D1257" s="3"/>
      <c r="E1257" s="3"/>
      <c r="F1257" s="3"/>
      <c r="G1257" s="3"/>
      <c r="H1257" s="3"/>
      <c r="I1257" s="3"/>
      <c r="J1257" s="3"/>
    </row>
    <row r="1258" spans="2:10" x14ac:dyDescent="0.25">
      <c r="B1258" s="3"/>
      <c r="C1258" s="3"/>
      <c r="D1258" s="3"/>
      <c r="E1258" s="3"/>
      <c r="F1258" s="3"/>
      <c r="G1258" s="3"/>
      <c r="H1258" s="3"/>
      <c r="I1258" s="3"/>
      <c r="J1258" s="3"/>
    </row>
    <row r="1259" spans="2:10" x14ac:dyDescent="0.25">
      <c r="B1259" s="3"/>
      <c r="C1259" s="3"/>
      <c r="D1259" s="3"/>
      <c r="E1259" s="3"/>
      <c r="F1259" s="3"/>
      <c r="G1259" s="3"/>
      <c r="H1259" s="3"/>
      <c r="I1259" s="3"/>
      <c r="J1259" s="3"/>
    </row>
    <row r="1260" spans="2:10" x14ac:dyDescent="0.25">
      <c r="B1260" s="3"/>
      <c r="C1260" s="3"/>
      <c r="D1260" s="3"/>
      <c r="E1260" s="3"/>
      <c r="F1260" s="3"/>
      <c r="G1260" s="3"/>
      <c r="H1260" s="3"/>
      <c r="I1260" s="3"/>
      <c r="J1260" s="3"/>
    </row>
    <row r="1261" spans="2:10" x14ac:dyDescent="0.25">
      <c r="B1261" s="3"/>
      <c r="C1261" s="3"/>
      <c r="D1261" s="3"/>
      <c r="E1261" s="3"/>
      <c r="F1261" s="3"/>
      <c r="G1261" s="3"/>
      <c r="H1261" s="3"/>
      <c r="I1261" s="3"/>
      <c r="J1261" s="3"/>
    </row>
    <row r="1262" spans="2:10" x14ac:dyDescent="0.25">
      <c r="B1262" s="3"/>
      <c r="C1262" s="3"/>
      <c r="D1262" s="3"/>
      <c r="E1262" s="3"/>
      <c r="F1262" s="3"/>
      <c r="G1262" s="3"/>
      <c r="H1262" s="3"/>
      <c r="I1262" s="3"/>
      <c r="J1262" s="3"/>
    </row>
    <row r="1263" spans="2:10" x14ac:dyDescent="0.25">
      <c r="B1263" s="3"/>
      <c r="C1263" s="3"/>
      <c r="D1263" s="3"/>
      <c r="E1263" s="3"/>
      <c r="F1263" s="3"/>
      <c r="G1263" s="3"/>
      <c r="H1263" s="3"/>
      <c r="I1263" s="3"/>
      <c r="J1263" s="3"/>
    </row>
    <row r="1264" spans="2:10" x14ac:dyDescent="0.25">
      <c r="B1264" s="3"/>
      <c r="C1264" s="3"/>
      <c r="D1264" s="3"/>
      <c r="E1264" s="3"/>
      <c r="F1264" s="3"/>
      <c r="G1264" s="3"/>
      <c r="H1264" s="3"/>
      <c r="I1264" s="3"/>
      <c r="J1264" s="3"/>
    </row>
    <row r="1265" spans="2:10" x14ac:dyDescent="0.25">
      <c r="B1265" s="3"/>
      <c r="C1265" s="3"/>
      <c r="D1265" s="3"/>
      <c r="E1265" s="3"/>
      <c r="F1265" s="3"/>
      <c r="G1265" s="3"/>
      <c r="H1265" s="3"/>
      <c r="I1265" s="3"/>
      <c r="J1265" s="3"/>
    </row>
    <row r="1266" spans="2:10" x14ac:dyDescent="0.25">
      <c r="B1266" s="3"/>
      <c r="C1266" s="3"/>
      <c r="D1266" s="3"/>
      <c r="E1266" s="3"/>
      <c r="F1266" s="3"/>
      <c r="G1266" s="3"/>
      <c r="H1266" s="3"/>
      <c r="I1266" s="3"/>
      <c r="J1266" s="3"/>
    </row>
    <row r="1267" spans="2:10" x14ac:dyDescent="0.25">
      <c r="B1267" s="3"/>
      <c r="C1267" s="3"/>
      <c r="D1267" s="3"/>
      <c r="E1267" s="3"/>
      <c r="F1267" s="3"/>
      <c r="G1267" s="3"/>
      <c r="H1267" s="3"/>
      <c r="I1267" s="3"/>
      <c r="J1267" s="3"/>
    </row>
    <row r="1268" spans="2:10" x14ac:dyDescent="0.25">
      <c r="B1268" s="3"/>
      <c r="C1268" s="3"/>
      <c r="D1268" s="3"/>
      <c r="E1268" s="3"/>
      <c r="F1268" s="3"/>
      <c r="G1268" s="3"/>
      <c r="H1268" s="3"/>
      <c r="I1268" s="3"/>
      <c r="J1268" s="3"/>
    </row>
    <row r="1269" spans="2:10" x14ac:dyDescent="0.25">
      <c r="B1269" s="3"/>
      <c r="C1269" s="3"/>
      <c r="D1269" s="3"/>
      <c r="E1269" s="3"/>
      <c r="F1269" s="3"/>
      <c r="G1269" s="3"/>
      <c r="H1269" s="3"/>
      <c r="I1269" s="3"/>
      <c r="J1269" s="3"/>
    </row>
    <row r="1270" spans="2:10" x14ac:dyDescent="0.25">
      <c r="B1270" s="3"/>
      <c r="C1270" s="3"/>
      <c r="D1270" s="3"/>
      <c r="E1270" s="3"/>
      <c r="F1270" s="3"/>
      <c r="G1270" s="3"/>
      <c r="H1270" s="3"/>
      <c r="I1270" s="3"/>
      <c r="J1270" s="3"/>
    </row>
    <row r="1271" spans="2:10" x14ac:dyDescent="0.25">
      <c r="B1271" s="3"/>
      <c r="C1271" s="3"/>
      <c r="D1271" s="3"/>
      <c r="E1271" s="3"/>
      <c r="F1271" s="3"/>
      <c r="G1271" s="3"/>
      <c r="H1271" s="3"/>
      <c r="I1271" s="3"/>
      <c r="J1271" s="3"/>
    </row>
    <row r="1272" spans="2:10" x14ac:dyDescent="0.25">
      <c r="B1272" s="3"/>
      <c r="C1272" s="3"/>
      <c r="D1272" s="3"/>
      <c r="E1272" s="3"/>
      <c r="F1272" s="3"/>
      <c r="G1272" s="3"/>
      <c r="H1272" s="3"/>
      <c r="I1272" s="3"/>
      <c r="J1272" s="3"/>
    </row>
    <row r="1273" spans="2:10" x14ac:dyDescent="0.25">
      <c r="B1273" s="3"/>
      <c r="C1273" s="3"/>
      <c r="D1273" s="3"/>
      <c r="E1273" s="3"/>
      <c r="F1273" s="3"/>
      <c r="G1273" s="3"/>
      <c r="H1273" s="3"/>
      <c r="I1273" s="3"/>
      <c r="J1273" s="3"/>
    </row>
    <row r="1274" spans="2:10" x14ac:dyDescent="0.25">
      <c r="B1274" s="3"/>
      <c r="C1274" s="3"/>
      <c r="D1274" s="3"/>
      <c r="E1274" s="3"/>
      <c r="F1274" s="3"/>
      <c r="G1274" s="3"/>
      <c r="H1274" s="3"/>
      <c r="I1274" s="3"/>
      <c r="J1274" s="3"/>
    </row>
    <row r="1275" spans="2:10" x14ac:dyDescent="0.25">
      <c r="B1275" s="3"/>
      <c r="C1275" s="3"/>
      <c r="D1275" s="3"/>
      <c r="E1275" s="3"/>
      <c r="F1275" s="3"/>
      <c r="G1275" s="3"/>
      <c r="H1275" s="3"/>
      <c r="I1275" s="3"/>
      <c r="J1275" s="3"/>
    </row>
    <row r="1276" spans="2:10" x14ac:dyDescent="0.25">
      <c r="B1276" s="3"/>
      <c r="C1276" s="3"/>
      <c r="D1276" s="3"/>
      <c r="E1276" s="3"/>
      <c r="F1276" s="3"/>
      <c r="G1276" s="3"/>
      <c r="H1276" s="3"/>
      <c r="I1276" s="3"/>
      <c r="J1276" s="3"/>
    </row>
    <row r="1277" spans="2:10" x14ac:dyDescent="0.25">
      <c r="B1277" s="3"/>
      <c r="C1277" s="3"/>
      <c r="D1277" s="3"/>
      <c r="E1277" s="3"/>
      <c r="F1277" s="3"/>
      <c r="G1277" s="3"/>
      <c r="H1277" s="3"/>
      <c r="I1277" s="3"/>
      <c r="J1277" s="3"/>
    </row>
    <row r="1278" spans="2:10" x14ac:dyDescent="0.25">
      <c r="B1278" s="3"/>
      <c r="C1278" s="3"/>
      <c r="D1278" s="3"/>
      <c r="E1278" s="3"/>
      <c r="F1278" s="3"/>
      <c r="G1278" s="3"/>
      <c r="H1278" s="3"/>
      <c r="I1278" s="3"/>
      <c r="J1278" s="3"/>
    </row>
    <row r="1279" spans="2:10" x14ac:dyDescent="0.25">
      <c r="B1279" s="3"/>
      <c r="C1279" s="3"/>
      <c r="D1279" s="3"/>
      <c r="E1279" s="3"/>
      <c r="F1279" s="3"/>
      <c r="G1279" s="3"/>
      <c r="H1279" s="3"/>
      <c r="I1279" s="3"/>
      <c r="J1279" s="3"/>
    </row>
  </sheetData>
  <mergeCells count="4">
    <mergeCell ref="A1:O1"/>
    <mergeCell ref="K2:L2"/>
    <mergeCell ref="M2:N2"/>
    <mergeCell ref="A2:A3"/>
  </mergeCells>
  <phoneticPr fontId="0" type="noConversion"/>
  <hyperlinks>
    <hyperlink ref="B787" r:id="rId1" xr:uid="{00000000-0004-0000-0000-000000000000}"/>
  </hyperlinks>
  <printOptions horizontalCentered="1" gridLines="1"/>
  <pageMargins left="0.6" right="0.6" top="0.6" bottom="0.6" header="0.3" footer="0.3"/>
  <pageSetup scale="79"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4"/>
  <sheetViews>
    <sheetView workbookViewId="0">
      <pane ySplit="2" topLeftCell="A3" activePane="bottomLeft" state="frozen"/>
      <selection pane="bottomLeft" activeCell="D14" sqref="D14"/>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25">
      <c r="A1" s="24" t="s">
        <v>10</v>
      </c>
      <c r="B1" s="24"/>
    </row>
    <row r="2" spans="1:2" ht="9.6" customHeight="1" x14ac:dyDescent="0.25">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5" x14ac:dyDescent="0.25">
      <c r="A6" s="11"/>
      <c r="B6" s="9"/>
    </row>
    <row r="7" spans="1:2" ht="42" customHeight="1" x14ac:dyDescent="0.25">
      <c r="A7" s="11" t="s">
        <v>3</v>
      </c>
      <c r="B7" s="25" t="s">
        <v>12</v>
      </c>
    </row>
    <row r="8" spans="1:2" ht="42" customHeight="1" x14ac:dyDescent="0.25">
      <c r="A8" s="11" t="s">
        <v>11</v>
      </c>
      <c r="B8" s="25"/>
    </row>
    <row r="9" spans="1:2" ht="7.5" customHeight="1" x14ac:dyDescent="0.25">
      <c r="A9" s="9"/>
      <c r="B9" s="9"/>
    </row>
    <row r="10" spans="1:2" ht="76.7" customHeight="1" x14ac:dyDescent="0.25">
      <c r="A10" s="9"/>
      <c r="B10" s="10" t="s">
        <v>13</v>
      </c>
    </row>
    <row r="12" spans="1:2" ht="90" x14ac:dyDescent="0.25">
      <c r="A12" s="1" t="s">
        <v>24</v>
      </c>
      <c r="B12" s="10" t="s">
        <v>25</v>
      </c>
    </row>
    <row r="14" spans="1:2" ht="35.25" customHeight="1" x14ac:dyDescent="0.25">
      <c r="A14" s="1" t="s">
        <v>24</v>
      </c>
      <c r="B14" s="18" t="s">
        <v>23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 </cp:lastModifiedBy>
  <cp:lastPrinted>2017-12-19T16:27:27Z</cp:lastPrinted>
  <dcterms:created xsi:type="dcterms:W3CDTF">2010-06-22T15:52:38Z</dcterms:created>
  <dcterms:modified xsi:type="dcterms:W3CDTF">2024-02-07T21:02:27Z</dcterms:modified>
</cp:coreProperties>
</file>